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北京现代" sheetId="1" r:id="rId1"/>
  </sheets>
  <definedNames>
    <definedName name="_xlnm.Print_Area" localSheetId="0">'北京现代'!$A$1:$AA$275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154" authorId="0">
      <text>
        <r>
          <rPr>
            <sz val="9"/>
            <rFont val="宋体"/>
            <family val="0"/>
          </rPr>
          <t xml:space="preserve">Administrator:
刘东辉 12-4-5
</t>
        </r>
      </text>
    </comment>
    <comment ref="O226" authorId="0">
      <text>
        <r>
          <rPr>
            <sz val="9"/>
            <rFont val="宋体"/>
            <family val="0"/>
          </rPr>
          <t xml:space="preserve">Administrator:
刘东辉 12-4-5
</t>
        </r>
      </text>
    </comment>
    <comment ref="O69" authorId="0">
      <text>
        <r>
          <rPr>
            <sz val="9"/>
            <rFont val="宋体"/>
            <family val="0"/>
          </rPr>
          <t xml:space="preserve">Administrator:
刘东辉 12-5-21
</t>
        </r>
      </text>
    </comment>
    <comment ref="C82" authorId="0">
      <text>
        <r>
          <rPr>
            <sz val="9"/>
            <rFont val="宋体"/>
            <family val="0"/>
          </rPr>
          <t>Administrator:
北京白仕平
12-4</t>
        </r>
      </text>
    </comment>
    <comment ref="O6" authorId="0">
      <text>
        <r>
          <rPr>
            <sz val="9"/>
            <rFont val="宋体"/>
            <family val="0"/>
          </rPr>
          <t>Administrator:
北京白仕平
12-4</t>
        </r>
      </text>
    </comment>
    <comment ref="G252" authorId="0">
      <text>
        <r>
          <rPr>
            <sz val="9"/>
            <rFont val="宋体"/>
            <family val="0"/>
          </rPr>
          <t>Administrator:
北京白仕平
12-4</t>
        </r>
      </text>
    </comment>
    <comment ref="G211" authorId="0">
      <text>
        <r>
          <rPr>
            <sz val="9"/>
            <rFont val="宋体"/>
            <family val="0"/>
          </rPr>
          <t>Administrator:
北京白仕平
12-4</t>
        </r>
      </text>
    </comment>
    <comment ref="C211" authorId="0">
      <text>
        <r>
          <rPr>
            <sz val="9"/>
            <rFont val="宋体"/>
            <family val="0"/>
          </rPr>
          <t>Administrator:
北京白仕平
12-4</t>
        </r>
      </text>
    </comment>
    <comment ref="K252" authorId="0">
      <text>
        <r>
          <rPr>
            <sz val="9"/>
            <rFont val="宋体"/>
            <family val="0"/>
          </rPr>
          <t>Administrator:
北京白仕平
12-4</t>
        </r>
      </text>
    </comment>
    <comment ref="O252" authorId="0">
      <text>
        <r>
          <rPr>
            <sz val="9"/>
            <rFont val="宋体"/>
            <family val="0"/>
          </rPr>
          <t>Administrator:
北京白仕平
12-4</t>
        </r>
      </text>
    </comment>
    <comment ref="S211" authorId="0">
      <text>
        <r>
          <rPr>
            <sz val="9"/>
            <rFont val="宋体"/>
            <family val="0"/>
          </rPr>
          <t>Administrator:
北京白仕平
12-4</t>
        </r>
      </text>
    </comment>
    <comment ref="S241" authorId="0">
      <text>
        <r>
          <rPr>
            <sz val="9"/>
            <rFont val="宋体"/>
            <family val="0"/>
          </rPr>
          <t>Administrator:
北京白仕平
12-4</t>
        </r>
      </text>
    </comment>
    <comment ref="C252" authorId="0">
      <text>
        <r>
          <rPr>
            <sz val="9"/>
            <rFont val="宋体"/>
            <family val="0"/>
          </rPr>
          <t>Administrator:
北京白仕平
12-4</t>
        </r>
      </text>
    </comment>
    <comment ref="S252" authorId="0">
      <text>
        <r>
          <rPr>
            <sz val="9"/>
            <rFont val="宋体"/>
            <family val="0"/>
          </rPr>
          <t>Administrator:
北京白仕平
12-4</t>
        </r>
      </text>
    </comment>
    <comment ref="O241" authorId="0">
      <text>
        <r>
          <rPr>
            <sz val="9"/>
            <rFont val="宋体"/>
            <family val="0"/>
          </rPr>
          <t>Administrator:
北京白仕平
12-4</t>
        </r>
      </text>
    </comment>
    <comment ref="O106" authorId="0">
      <text>
        <r>
          <rPr>
            <sz val="9"/>
            <rFont val="宋体"/>
            <family val="0"/>
          </rPr>
          <t>Administrator:
北京白仕平
12-4</t>
        </r>
      </text>
    </comment>
    <comment ref="O138" authorId="0">
      <text>
        <r>
          <rPr>
            <sz val="9"/>
            <rFont val="宋体"/>
            <family val="0"/>
          </rPr>
          <t>Administrator:
北京白仕平
12-4</t>
        </r>
      </text>
    </comment>
    <comment ref="S138" authorId="0">
      <text>
        <r>
          <rPr>
            <sz val="9"/>
            <rFont val="宋体"/>
            <family val="0"/>
          </rPr>
          <t>Administrator:
北京白仕平
12-4</t>
        </r>
      </text>
    </comment>
    <comment ref="K152" authorId="0">
      <text>
        <r>
          <rPr>
            <sz val="9"/>
            <rFont val="宋体"/>
            <family val="0"/>
          </rPr>
          <t>Administrator:
北京白仕平
12-4</t>
        </r>
      </text>
    </comment>
    <comment ref="S224" authorId="0">
      <text>
        <r>
          <rPr>
            <sz val="9"/>
            <rFont val="宋体"/>
            <family val="0"/>
          </rPr>
          <t>Administrator:
北京白仕平
12-4</t>
        </r>
      </text>
    </comment>
    <comment ref="C67" authorId="0">
      <text>
        <r>
          <rPr>
            <sz val="9"/>
            <rFont val="宋体"/>
            <family val="0"/>
          </rPr>
          <t>Administrator:
北京白仕平
12-4</t>
        </r>
      </text>
    </comment>
    <comment ref="K224" authorId="0">
      <text>
        <r>
          <rPr>
            <sz val="9"/>
            <rFont val="宋体"/>
            <family val="0"/>
          </rPr>
          <t>Administrator:
北京白仕平
12-4</t>
        </r>
      </text>
    </comment>
    <comment ref="G80" authorId="0">
      <text>
        <r>
          <rPr>
            <sz val="9"/>
            <rFont val="宋体"/>
            <family val="0"/>
          </rPr>
          <t>Administrator:
北京白仕平
12-4</t>
        </r>
      </text>
    </comment>
    <comment ref="S67" authorId="0">
      <text>
        <r>
          <rPr>
            <sz val="9"/>
            <rFont val="宋体"/>
            <family val="0"/>
          </rPr>
          <t>Administrator:
北京白仕平
12-4</t>
        </r>
      </text>
    </comment>
    <comment ref="K36" authorId="0">
      <text>
        <r>
          <rPr>
            <sz val="9"/>
            <rFont val="宋体"/>
            <family val="0"/>
          </rPr>
          <t>Administrator:
北京白仕平
12-4</t>
        </r>
      </text>
    </comment>
    <comment ref="S80" authorId="0">
      <text>
        <r>
          <rPr>
            <sz val="9"/>
            <rFont val="宋体"/>
            <family val="0"/>
          </rPr>
          <t>Administrator:
北京白仕平
12-4</t>
        </r>
      </text>
    </comment>
    <comment ref="K211" authorId="0">
      <text>
        <r>
          <rPr>
            <sz val="9"/>
            <rFont val="宋体"/>
            <family val="0"/>
          </rPr>
          <t>Administrator:
北京白仕平
12-4</t>
        </r>
      </text>
    </comment>
    <comment ref="O124" authorId="0">
      <text>
        <r>
          <rPr>
            <sz val="9"/>
            <rFont val="宋体"/>
            <family val="0"/>
          </rPr>
          <t>Administrator:
北京白仕平
12-4</t>
        </r>
      </text>
    </comment>
    <comment ref="K241" authorId="0">
      <text>
        <r>
          <rPr>
            <sz val="9"/>
            <rFont val="宋体"/>
            <family val="0"/>
          </rPr>
          <t>Administrator:
北京白仕平
12-4</t>
        </r>
      </text>
    </comment>
    <comment ref="G241" authorId="0">
      <text>
        <r>
          <rPr>
            <sz val="9"/>
            <rFont val="宋体"/>
            <family val="0"/>
          </rPr>
          <t>Administrator:
北京白仕平
12-4</t>
        </r>
      </text>
    </comment>
    <comment ref="C184" authorId="0">
      <text>
        <r>
          <rPr>
            <sz val="9"/>
            <rFont val="宋体"/>
            <family val="0"/>
          </rPr>
          <t>Administrator:
北京白仕平
12-4</t>
        </r>
      </text>
    </comment>
    <comment ref="C224" authorId="0">
      <text>
        <r>
          <rPr>
            <sz val="9"/>
            <rFont val="宋体"/>
            <family val="0"/>
          </rPr>
          <t>Administrator:
北京白仕平
12-4</t>
        </r>
      </text>
    </comment>
    <comment ref="C152" authorId="0">
      <text>
        <r>
          <rPr>
            <sz val="9"/>
            <rFont val="宋体"/>
            <family val="0"/>
          </rPr>
          <t>Administrator:
北京白仕平
12-4</t>
        </r>
      </text>
    </comment>
    <comment ref="C36" authorId="0">
      <text>
        <r>
          <rPr>
            <sz val="9"/>
            <rFont val="宋体"/>
            <family val="0"/>
          </rPr>
          <t>Administrator:
北京白仕平
12-4</t>
        </r>
      </text>
    </comment>
    <comment ref="C197" authorId="0">
      <text>
        <r>
          <rPr>
            <sz val="9"/>
            <rFont val="宋体"/>
            <family val="0"/>
          </rPr>
          <t>Administrator:
北京白仕平
12-4</t>
        </r>
      </text>
    </comment>
    <comment ref="O197" authorId="0">
      <text>
        <r>
          <rPr>
            <sz val="9"/>
            <rFont val="宋体"/>
            <family val="0"/>
          </rPr>
          <t>Administrator:
北京白仕平
12-4</t>
        </r>
      </text>
    </comment>
    <comment ref="G124" authorId="0">
      <text>
        <r>
          <rPr>
            <sz val="9"/>
            <rFont val="宋体"/>
            <family val="0"/>
          </rPr>
          <t>Administrator:
北京白仕平
12-4</t>
        </r>
      </text>
    </comment>
    <comment ref="G67" authorId="0">
      <text>
        <r>
          <rPr>
            <sz val="9"/>
            <rFont val="宋体"/>
            <family val="0"/>
          </rPr>
          <t>Administrator:
北京白仕平
12-4</t>
        </r>
      </text>
    </comment>
    <comment ref="G167" authorId="0">
      <text>
        <r>
          <rPr>
            <sz val="9"/>
            <rFont val="宋体"/>
            <family val="0"/>
          </rPr>
          <t>Administrator:
北京白仕平
12-4</t>
        </r>
      </text>
    </comment>
    <comment ref="S106" authorId="0">
      <text>
        <r>
          <rPr>
            <sz val="9"/>
            <rFont val="宋体"/>
            <family val="0"/>
          </rPr>
          <t>Administrator:
北京白仕平
12-4</t>
        </r>
      </text>
    </comment>
    <comment ref="G21" authorId="0">
      <text>
        <r>
          <rPr>
            <sz val="9"/>
            <rFont val="宋体"/>
            <family val="0"/>
          </rPr>
          <t>Administrator:
北京白仕平
12-4</t>
        </r>
      </text>
    </comment>
    <comment ref="S152" authorId="0">
      <text>
        <r>
          <rPr>
            <sz val="9"/>
            <rFont val="宋体"/>
            <family val="0"/>
          </rPr>
          <t>Administrator:
北京白仕平
12-4</t>
        </r>
      </text>
    </comment>
    <comment ref="K184" authorId="0">
      <text>
        <r>
          <rPr>
            <sz val="9"/>
            <rFont val="宋体"/>
            <family val="0"/>
          </rPr>
          <t>Administrator:
北京白仕平
12-4</t>
        </r>
      </text>
    </comment>
    <comment ref="G138" authorId="0">
      <text>
        <r>
          <rPr>
            <sz val="9"/>
            <rFont val="宋体"/>
            <family val="0"/>
          </rPr>
          <t>Administrator:
北京白仕平
12-4</t>
        </r>
      </text>
    </comment>
    <comment ref="G51" authorId="0">
      <text>
        <r>
          <rPr>
            <sz val="9"/>
            <rFont val="宋体"/>
            <family val="0"/>
          </rPr>
          <t>Administrator:
北京白仕平
12-4</t>
        </r>
      </text>
    </comment>
    <comment ref="O36" authorId="0">
      <text>
        <r>
          <rPr>
            <sz val="9"/>
            <rFont val="宋体"/>
            <family val="0"/>
          </rPr>
          <t>Administrator:
北京白仕平
12-4</t>
        </r>
      </text>
    </comment>
    <comment ref="C93" authorId="0">
      <text>
        <r>
          <rPr>
            <sz val="9"/>
            <rFont val="宋体"/>
            <family val="0"/>
          </rPr>
          <t>Administrator:
北京白仕平
12-4</t>
        </r>
      </text>
    </comment>
    <comment ref="G93" authorId="0">
      <text>
        <r>
          <rPr>
            <sz val="9"/>
            <rFont val="宋体"/>
            <family val="0"/>
          </rPr>
          <t>Administrator:
北京白仕平
12-4</t>
        </r>
      </text>
    </comment>
    <comment ref="C106" authorId="0">
      <text>
        <r>
          <rPr>
            <sz val="9"/>
            <rFont val="宋体"/>
            <family val="0"/>
          </rPr>
          <t>Administrator:
北京白仕平
12-4</t>
        </r>
      </text>
    </comment>
    <comment ref="K51" authorId="0">
      <text>
        <r>
          <rPr>
            <sz val="9"/>
            <rFont val="宋体"/>
            <family val="0"/>
          </rPr>
          <t>Administrator:
刘东辉
12-4</t>
        </r>
      </text>
    </comment>
  </commentList>
</comments>
</file>

<file path=xl/sharedStrings.xml><?xml version="1.0" encoding="utf-8"?>
<sst xmlns="http://schemas.openxmlformats.org/spreadsheetml/2006/main" count="1330" uniqueCount="230">
  <si>
    <t>东来涂料技术(上海)有限公司</t>
  </si>
  <si>
    <r>
      <t>注</t>
    </r>
    <r>
      <rPr>
        <b/>
        <sz val="10"/>
        <color indexed="10"/>
        <rFont val="宋体"/>
        <family val="0"/>
      </rPr>
      <t>：此配方合计数量可以随意更改。以下配方会根据合计自动做相应的更改！</t>
    </r>
  </si>
  <si>
    <t>车型：</t>
  </si>
  <si>
    <t>悦动/I30</t>
  </si>
  <si>
    <t>悦动/I30/IX35/新索纳塔</t>
  </si>
  <si>
    <t>色号：</t>
  </si>
  <si>
    <t>9A</t>
  </si>
  <si>
    <t>2R</t>
  </si>
  <si>
    <t>名称：</t>
  </si>
  <si>
    <t>映灰-1</t>
  </si>
  <si>
    <t>映灰-2</t>
  </si>
  <si>
    <t>映灰</t>
  </si>
  <si>
    <t>晶银</t>
  </si>
  <si>
    <t>晶银-2</t>
  </si>
  <si>
    <t>配方：</t>
  </si>
  <si>
    <t>偏红</t>
  </si>
  <si>
    <t>偏蓝</t>
  </si>
  <si>
    <t>标准</t>
  </si>
  <si>
    <t>偏深</t>
  </si>
  <si>
    <t>M913</t>
  </si>
  <si>
    <t>M924</t>
  </si>
  <si>
    <t>M923</t>
  </si>
  <si>
    <t>M915</t>
  </si>
  <si>
    <t>M881</t>
  </si>
  <si>
    <t>M365</t>
  </si>
  <si>
    <t>M562</t>
  </si>
  <si>
    <t>M564</t>
  </si>
  <si>
    <t>M661</t>
  </si>
  <si>
    <t>M002</t>
  </si>
  <si>
    <t>M061</t>
  </si>
  <si>
    <t>合计</t>
  </si>
  <si>
    <t>M162</t>
  </si>
  <si>
    <t>M013</t>
  </si>
  <si>
    <t>M107</t>
  </si>
  <si>
    <t>悦动</t>
  </si>
  <si>
    <t>2X</t>
  </si>
  <si>
    <t>9W</t>
  </si>
  <si>
    <t>谧蓝</t>
  </si>
  <si>
    <t>谧蓝-1</t>
  </si>
  <si>
    <t>谧蓝-2</t>
  </si>
  <si>
    <t>灿金</t>
  </si>
  <si>
    <t>灿金-1</t>
  </si>
  <si>
    <t>偏浅</t>
  </si>
  <si>
    <t>偏黄绿</t>
  </si>
  <si>
    <t>M565</t>
  </si>
  <si>
    <t>M930</t>
  </si>
  <si>
    <t>P040</t>
  </si>
  <si>
    <t>M108</t>
  </si>
  <si>
    <t>P026</t>
  </si>
  <si>
    <t>M109</t>
  </si>
  <si>
    <t>P008</t>
  </si>
  <si>
    <t>M090</t>
  </si>
  <si>
    <t>P023</t>
  </si>
  <si>
    <t>M194</t>
  </si>
  <si>
    <t>P021</t>
  </si>
  <si>
    <t>5F</t>
  </si>
  <si>
    <t>8M</t>
  </si>
  <si>
    <t>灿金-2</t>
  </si>
  <si>
    <t>榴红</t>
  </si>
  <si>
    <t>臻栗</t>
  </si>
  <si>
    <t>臻栗-1</t>
  </si>
  <si>
    <t>金属感偏强</t>
  </si>
  <si>
    <t>P010</t>
  </si>
  <si>
    <t>M161</t>
  </si>
  <si>
    <t>M931</t>
  </si>
  <si>
    <t>P028</t>
  </si>
  <si>
    <t>M103</t>
  </si>
  <si>
    <t>P018</t>
  </si>
  <si>
    <t>M195</t>
  </si>
  <si>
    <t>M320</t>
  </si>
  <si>
    <t>悦动/IX35/I30/新索纳塔/领翔/御翔</t>
  </si>
  <si>
    <t>瑞纳</t>
  </si>
  <si>
    <t>悦动/IX35/新索纳塔/I30</t>
  </si>
  <si>
    <t>I30</t>
  </si>
  <si>
    <t>9F</t>
  </si>
  <si>
    <t>7F</t>
  </si>
  <si>
    <t>QU</t>
  </si>
  <si>
    <t>炫黑</t>
  </si>
  <si>
    <t>炫黑-1</t>
  </si>
  <si>
    <t>莹白</t>
  </si>
  <si>
    <t>莹白-1</t>
  </si>
  <si>
    <t>槟银</t>
  </si>
  <si>
    <t>S011</t>
  </si>
  <si>
    <t>S303</t>
  </si>
  <si>
    <t>S801</t>
  </si>
  <si>
    <t>S502</t>
  </si>
  <si>
    <t>M011</t>
  </si>
  <si>
    <t>M393</t>
  </si>
  <si>
    <r>
      <t xml:space="preserve">北京现代车系 </t>
    </r>
    <r>
      <rPr>
        <b/>
        <sz val="20"/>
        <rFont val="宋体"/>
        <family val="0"/>
      </rPr>
      <t xml:space="preserve">  </t>
    </r>
    <r>
      <rPr>
        <b/>
        <sz val="20"/>
        <color indexed="12"/>
        <rFont val="宋体"/>
        <family val="0"/>
      </rPr>
      <t xml:space="preserve"> </t>
    </r>
    <r>
      <rPr>
        <b/>
        <sz val="11"/>
        <color indexed="17"/>
        <rFont val="宋体"/>
        <family val="0"/>
      </rPr>
      <t>（共计：91个配方）2012年6月修改版</t>
    </r>
  </si>
  <si>
    <t>伊兰特/索纳塔</t>
  </si>
  <si>
    <t>IX35</t>
  </si>
  <si>
    <t>GU</t>
  </si>
  <si>
    <t>BV</t>
  </si>
  <si>
    <t>N3Y</t>
  </si>
  <si>
    <t>海蓝</t>
  </si>
  <si>
    <t>海蓝-1</t>
  </si>
  <si>
    <t>闪铜</t>
  </si>
  <si>
    <t>闪铜-1</t>
  </si>
  <si>
    <t>M501</t>
  </si>
  <si>
    <t>M914</t>
  </si>
  <si>
    <t>IX35/新索纳塔</t>
  </si>
  <si>
    <t>Nu2</t>
  </si>
  <si>
    <t>N4G</t>
  </si>
  <si>
    <t>NR2</t>
  </si>
  <si>
    <t>墨蓝</t>
  </si>
  <si>
    <t>凝灰</t>
  </si>
  <si>
    <t>凝灰-1</t>
  </si>
  <si>
    <t>魅红</t>
  </si>
  <si>
    <t>魅红-1</t>
  </si>
  <si>
    <t>偏红黄</t>
  </si>
  <si>
    <t>伊兰特</t>
  </si>
  <si>
    <t>伊兰特/途胜</t>
  </si>
  <si>
    <t>索纳塔</t>
  </si>
  <si>
    <t>AE</t>
  </si>
  <si>
    <t>AH</t>
  </si>
  <si>
    <t>QD</t>
  </si>
  <si>
    <t>浪漫红</t>
  </si>
  <si>
    <t>浪漫红-1</t>
  </si>
  <si>
    <t>浪漫红-2</t>
  </si>
  <si>
    <t>都市灰</t>
  </si>
  <si>
    <t>偏艳</t>
  </si>
  <si>
    <t>P011</t>
  </si>
  <si>
    <t>P002</t>
  </si>
  <si>
    <t>BX</t>
  </si>
  <si>
    <t>XX</t>
  </si>
  <si>
    <t>闪光银</t>
  </si>
  <si>
    <t>闪光银-1</t>
  </si>
  <si>
    <t>闪光银-2</t>
  </si>
  <si>
    <t>激情蓝</t>
  </si>
  <si>
    <t>老款</t>
  </si>
  <si>
    <t>金属感强</t>
  </si>
  <si>
    <t>伊兰特/I30</t>
  </si>
  <si>
    <t>伊兰特/途胜/瑞纳/索纳塔/领翔/御翔</t>
  </si>
  <si>
    <t>JA</t>
  </si>
  <si>
    <t>2F</t>
  </si>
  <si>
    <t>嫣红</t>
  </si>
  <si>
    <t>乌木黑-1</t>
  </si>
  <si>
    <t>偏紫</t>
  </si>
  <si>
    <t>S104</t>
  </si>
  <si>
    <t>S103</t>
  </si>
  <si>
    <t>S102</t>
  </si>
  <si>
    <t>P001</t>
  </si>
  <si>
    <t>P030</t>
  </si>
  <si>
    <t>M326</t>
  </si>
  <si>
    <t>新伊兰特/途胜/瑞纳</t>
  </si>
  <si>
    <t>伊兰特/领翔/御翔Z9</t>
  </si>
  <si>
    <t>Z9</t>
  </si>
  <si>
    <t>乌木黑</t>
  </si>
  <si>
    <t>水晶银</t>
  </si>
  <si>
    <t>小颗粒</t>
  </si>
  <si>
    <t>M805</t>
  </si>
  <si>
    <t>P041</t>
  </si>
  <si>
    <t>第8代索纳塔</t>
  </si>
  <si>
    <t>T2Y</t>
  </si>
  <si>
    <t>SK</t>
  </si>
  <si>
    <t>3E</t>
  </si>
  <si>
    <t>烁金</t>
  </si>
  <si>
    <t>烁金-1</t>
  </si>
  <si>
    <t>香槟银</t>
  </si>
  <si>
    <t>魅力蓝</t>
  </si>
  <si>
    <t>顆粒大</t>
  </si>
  <si>
    <t>M402</t>
  </si>
  <si>
    <t>雅绅特</t>
  </si>
  <si>
    <t>雅绅特/瑞纳</t>
  </si>
  <si>
    <t>WGM</t>
  </si>
  <si>
    <t>3W</t>
  </si>
  <si>
    <t>魅力蓝-1</t>
  </si>
  <si>
    <t>宝石蓝</t>
  </si>
  <si>
    <t>白银-2</t>
  </si>
  <si>
    <t>柠檬黄-1</t>
  </si>
  <si>
    <t>S326</t>
  </si>
  <si>
    <t>途胜</t>
  </si>
  <si>
    <t>2B</t>
  </si>
  <si>
    <t>柠檬黄</t>
  </si>
  <si>
    <t>天空蓝-1</t>
  </si>
  <si>
    <t>天空蓝</t>
  </si>
  <si>
    <t>灰银(下色)</t>
  </si>
  <si>
    <t>浅</t>
  </si>
  <si>
    <t>深</t>
  </si>
  <si>
    <t>S320</t>
  </si>
  <si>
    <t>途胜/瑞纳/伊兰特</t>
  </si>
  <si>
    <t>BW</t>
  </si>
  <si>
    <t>BU</t>
  </si>
  <si>
    <t>RHM</t>
  </si>
  <si>
    <t>沙滩金</t>
  </si>
  <si>
    <t>沙滩金-1</t>
  </si>
  <si>
    <t>苍穹蓝-1</t>
  </si>
  <si>
    <t>苍穹蓝</t>
  </si>
  <si>
    <t>星辉银</t>
  </si>
  <si>
    <t>(偏紫)</t>
  </si>
  <si>
    <t>TDY</t>
  </si>
  <si>
    <t>G6</t>
  </si>
  <si>
    <t>魅惑红</t>
  </si>
  <si>
    <t>魅惑红-1</t>
  </si>
  <si>
    <t>魅力灰</t>
  </si>
  <si>
    <t>偏黄</t>
  </si>
  <si>
    <t>P013</t>
  </si>
  <si>
    <t>途胜/瑞纳</t>
  </si>
  <si>
    <t>UBS</t>
  </si>
  <si>
    <t>BK</t>
  </si>
  <si>
    <t>VL</t>
  </si>
  <si>
    <t>流沙金-1</t>
  </si>
  <si>
    <t>流沙金</t>
  </si>
  <si>
    <t>铂光银</t>
  </si>
  <si>
    <t>铂光银-1</t>
  </si>
  <si>
    <t>典雅绿</t>
  </si>
  <si>
    <t>M401</t>
  </si>
  <si>
    <t>XBG</t>
  </si>
  <si>
    <t>PGU</t>
  </si>
  <si>
    <t>NW</t>
  </si>
  <si>
    <t>HL</t>
  </si>
  <si>
    <t>炫丽黄</t>
  </si>
  <si>
    <t>优雅白</t>
  </si>
  <si>
    <t>贵族白</t>
  </si>
  <si>
    <t>都市红</t>
  </si>
  <si>
    <t>S321</t>
  </si>
  <si>
    <t>S402</t>
  </si>
  <si>
    <t>DZ</t>
  </si>
  <si>
    <t>Y5S</t>
  </si>
  <si>
    <t>VEA</t>
  </si>
  <si>
    <t>SAE</t>
  </si>
  <si>
    <t>NU2</t>
  </si>
  <si>
    <t>深海蓝</t>
  </si>
  <si>
    <t>冰银</t>
  </si>
  <si>
    <t>冰河银</t>
  </si>
  <si>
    <t>格调灰</t>
  </si>
  <si>
    <t xml:space="preserve"> 秘鲁蓝QB  海皇蓝JT  雅蓝M2U </t>
  </si>
  <si>
    <t>M924</t>
  </si>
  <si>
    <t>M881</t>
  </si>
  <si>
    <r>
      <t xml:space="preserve">北京现代车系 </t>
    </r>
    <r>
      <rPr>
        <b/>
        <sz val="20"/>
        <rFont val="宋体"/>
        <family val="0"/>
      </rPr>
      <t xml:space="preserve"> 　　 </t>
    </r>
    <r>
      <rPr>
        <b/>
        <sz val="20"/>
        <color indexed="12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</si>
</sst>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);[Red]\(0.0\)"/>
    <numFmt numFmtId="179" formatCode="0.0_ "/>
  </numFmts>
  <fonts count="55">
    <font>
      <sz val="12"/>
      <name val="宋体"/>
      <family val="0"/>
    </font>
    <font>
      <b/>
      <sz val="20"/>
      <name val="宋体"/>
      <family val="0"/>
    </font>
    <font>
      <b/>
      <sz val="20"/>
      <color indexed="12"/>
      <name val="宋体"/>
      <family val="0"/>
    </font>
    <font>
      <b/>
      <sz val="10"/>
      <color indexed="10"/>
      <name val="宋体"/>
      <family val="0"/>
    </font>
    <font>
      <b/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color indexed="12"/>
      <name val="宋体"/>
      <family val="0"/>
    </font>
    <font>
      <sz val="10"/>
      <color indexed="17"/>
      <name val="宋体"/>
      <family val="0"/>
    </font>
    <font>
      <sz val="9"/>
      <name val="宋体"/>
      <family val="0"/>
    </font>
    <font>
      <sz val="10"/>
      <color indexed="57"/>
      <name val="宋体"/>
      <family val="0"/>
    </font>
    <font>
      <sz val="12"/>
      <color indexed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41">
      <alignment/>
      <protection/>
    </xf>
    <xf numFmtId="0" fontId="0" fillId="0" borderId="0" xfId="42" applyFont="1">
      <alignment/>
      <protection/>
    </xf>
    <xf numFmtId="176" fontId="6" fillId="0" borderId="0" xfId="41" applyNumberFormat="1" applyFont="1">
      <alignment/>
      <protection/>
    </xf>
    <xf numFmtId="176" fontId="7" fillId="0" borderId="0" xfId="41" applyNumberFormat="1" applyFont="1" applyFill="1">
      <alignment/>
      <protection/>
    </xf>
    <xf numFmtId="0" fontId="8" fillId="0" borderId="0" xfId="42" applyFont="1" applyFill="1" applyAlignment="1">
      <alignment horizontal="right"/>
      <protection/>
    </xf>
    <xf numFmtId="177" fontId="8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Alignment="1">
      <alignment horizontal="right"/>
      <protection/>
    </xf>
    <xf numFmtId="0" fontId="9" fillId="0" borderId="0" xfId="42" applyFont="1" applyFill="1" applyAlignment="1">
      <alignment horizontal="right"/>
      <protection/>
    </xf>
    <xf numFmtId="177" fontId="9" fillId="0" borderId="0" xfId="42" applyNumberFormat="1" applyFont="1" applyFill="1" applyAlignment="1">
      <alignment horizontal="right"/>
      <protection/>
    </xf>
    <xf numFmtId="178" fontId="9" fillId="0" borderId="0" xfId="42" applyNumberFormat="1" applyFont="1" applyFill="1" applyAlignment="1">
      <alignment horizontal="right"/>
      <protection/>
    </xf>
    <xf numFmtId="0" fontId="10" fillId="0" borderId="0" xfId="42" applyFont="1" applyFill="1" applyAlignment="1">
      <alignment horizontal="left"/>
      <protection/>
    </xf>
    <xf numFmtId="177" fontId="10" fillId="0" borderId="0" xfId="42" applyNumberFormat="1" applyFont="1" applyFill="1" applyAlignment="1">
      <alignment horizontal="center"/>
      <protection/>
    </xf>
    <xf numFmtId="177" fontId="8" fillId="0" borderId="0" xfId="42" applyNumberFormat="1" applyFont="1" applyFill="1" applyAlignment="1">
      <alignment horizontal="center"/>
      <protection/>
    </xf>
    <xf numFmtId="177" fontId="11" fillId="0" borderId="0" xfId="42" applyNumberFormat="1" applyFont="1" applyFill="1" applyAlignment="1">
      <alignment horizontal="left"/>
      <protection/>
    </xf>
    <xf numFmtId="0" fontId="8" fillId="0" borderId="0" xfId="42" applyFont="1" applyFill="1" applyAlignment="1">
      <alignment horizontal="center"/>
      <protection/>
    </xf>
    <xf numFmtId="177" fontId="11" fillId="0" borderId="0" xfId="42" applyNumberFormat="1" applyFont="1" applyFill="1" applyAlignment="1">
      <alignment horizontal="right"/>
      <protection/>
    </xf>
    <xf numFmtId="177" fontId="8" fillId="0" borderId="0" xfId="42" applyNumberFormat="1" applyFont="1" applyFill="1">
      <alignment/>
      <protection/>
    </xf>
    <xf numFmtId="178" fontId="12" fillId="0" borderId="0" xfId="42" applyNumberFormat="1" applyFont="1" applyFill="1" applyAlignment="1">
      <alignment horizontal="right" vertical="center"/>
      <protection/>
    </xf>
    <xf numFmtId="178" fontId="12" fillId="0" borderId="0" xfId="42" applyNumberFormat="1" applyFont="1" applyFill="1">
      <alignment/>
      <protection/>
    </xf>
    <xf numFmtId="178" fontId="12" fillId="0" borderId="0" xfId="41" applyNumberFormat="1" applyFont="1" applyFill="1" applyBorder="1" applyAlignment="1">
      <alignment horizontal="right"/>
      <protection/>
    </xf>
    <xf numFmtId="178" fontId="12" fillId="0" borderId="0" xfId="41" applyNumberFormat="1" applyFont="1" applyFill="1" applyBorder="1" applyAlignment="1">
      <alignment horizontal="center"/>
      <protection/>
    </xf>
    <xf numFmtId="176" fontId="8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Alignment="1">
      <alignment horizontal="center"/>
      <protection/>
    </xf>
    <xf numFmtId="176" fontId="8" fillId="0" borderId="0" xfId="41" applyNumberFormat="1" applyFont="1" applyFill="1" applyAlignment="1">
      <alignment horizontal="right"/>
      <protection/>
    </xf>
    <xf numFmtId="176" fontId="8" fillId="0" borderId="0" xfId="41" applyNumberFormat="1" applyFont="1" applyFill="1">
      <alignment/>
      <protection/>
    </xf>
    <xf numFmtId="176" fontId="9" fillId="0" borderId="0" xfId="41" applyNumberFormat="1" applyFont="1" applyFill="1" applyAlignment="1">
      <alignment horizontal="right"/>
      <protection/>
    </xf>
    <xf numFmtId="176" fontId="9" fillId="0" borderId="0" xfId="41" applyNumberFormat="1" applyFont="1" applyFill="1" applyBorder="1" applyAlignment="1">
      <alignment horizontal="right"/>
      <protection/>
    </xf>
    <xf numFmtId="176" fontId="9" fillId="0" borderId="0" xfId="41" applyNumberFormat="1" applyFont="1" applyFill="1" applyBorder="1">
      <alignment/>
      <protection/>
    </xf>
    <xf numFmtId="176" fontId="9" fillId="0" borderId="0" xfId="42" applyNumberFormat="1" applyFont="1" applyFill="1" applyAlignment="1">
      <alignment horizontal="right"/>
      <protection/>
    </xf>
    <xf numFmtId="179" fontId="9" fillId="0" borderId="0" xfId="42" applyNumberFormat="1" applyFont="1" applyFill="1" applyAlignment="1">
      <alignment horizontal="right"/>
      <protection/>
    </xf>
    <xf numFmtId="177" fontId="9" fillId="0" borderId="0" xfId="42" applyNumberFormat="1" applyFont="1" applyFill="1" applyAlignment="1">
      <alignment horizontal="center"/>
      <protection/>
    </xf>
    <xf numFmtId="179" fontId="8" fillId="0" borderId="0" xfId="42" applyNumberFormat="1" applyFont="1" applyFill="1" applyAlignment="1">
      <alignment horizontal="right"/>
      <protection/>
    </xf>
    <xf numFmtId="0" fontId="10" fillId="0" borderId="0" xfId="42" applyFont="1" applyFill="1" applyAlignment="1">
      <alignment horizontal="left" vertical="center"/>
      <protection/>
    </xf>
    <xf numFmtId="177" fontId="9" fillId="0" borderId="0" xfId="42" applyNumberFormat="1" applyFont="1" applyFill="1" applyAlignment="1">
      <alignment horizontal="right" vertical="center" wrapText="1"/>
      <protection/>
    </xf>
    <xf numFmtId="177" fontId="9" fillId="0" borderId="0" xfId="42" applyNumberFormat="1" applyFont="1" applyFill="1" applyAlignment="1">
      <alignment horizontal="right" wrapText="1"/>
      <protection/>
    </xf>
    <xf numFmtId="177" fontId="9" fillId="0" borderId="0" xfId="42" applyNumberFormat="1" applyFont="1" applyFill="1" applyAlignment="1">
      <alignment wrapText="1"/>
      <protection/>
    </xf>
    <xf numFmtId="177" fontId="11" fillId="0" borderId="0" xfId="42" applyNumberFormat="1" applyFont="1" applyFill="1" applyAlignment="1">
      <alignment horizontal="right" vertical="center"/>
      <protection/>
    </xf>
    <xf numFmtId="177" fontId="9" fillId="0" borderId="0" xfId="42" applyNumberFormat="1" applyFont="1" applyFill="1" applyAlignment="1">
      <alignment horizontal="right" vertical="center"/>
      <protection/>
    </xf>
    <xf numFmtId="176" fontId="8" fillId="0" borderId="0" xfId="41" applyNumberFormat="1" applyFont="1" applyFill="1" applyBorder="1" applyAlignment="1">
      <alignment horizontal="right"/>
      <protection/>
    </xf>
    <xf numFmtId="0" fontId="8" fillId="0" borderId="0" xfId="42" applyFont="1" applyFill="1" applyAlignment="1">
      <alignment horizontal="left"/>
      <protection/>
    </xf>
    <xf numFmtId="177" fontId="8" fillId="0" borderId="0" xfId="42" applyNumberFormat="1" applyFont="1" applyFill="1" applyAlignment="1">
      <alignment horizontal="left"/>
      <protection/>
    </xf>
    <xf numFmtId="177" fontId="10" fillId="0" borderId="0" xfId="42" applyNumberFormat="1" applyFont="1" applyFill="1" applyAlignment="1">
      <alignment horizontal="center" vertical="center"/>
      <protection/>
    </xf>
    <xf numFmtId="177" fontId="8" fillId="0" borderId="0" xfId="42" applyNumberFormat="1" applyFont="1" applyFill="1" applyAlignment="1">
      <alignment horizontal="center" vertical="center"/>
      <protection/>
    </xf>
    <xf numFmtId="177" fontId="8" fillId="0" borderId="0" xfId="42" applyNumberFormat="1" applyFont="1" applyFill="1" applyAlignment="1">
      <alignment horizontal="right" vertical="center"/>
      <protection/>
    </xf>
    <xf numFmtId="0" fontId="11" fillId="0" borderId="0" xfId="42" applyFont="1" applyFill="1" applyAlignment="1">
      <alignment horizontal="center"/>
      <protection/>
    </xf>
    <xf numFmtId="177" fontId="11" fillId="0" borderId="0" xfId="42" applyNumberFormat="1" applyFont="1" applyFill="1" applyAlignment="1">
      <alignment/>
      <protection/>
    </xf>
    <xf numFmtId="0" fontId="8" fillId="0" borderId="0" xfId="42" applyFont="1" applyFill="1">
      <alignment/>
      <protection/>
    </xf>
    <xf numFmtId="0" fontId="8" fillId="0" borderId="0" xfId="42" applyFont="1">
      <alignment/>
      <protection/>
    </xf>
    <xf numFmtId="0" fontId="11" fillId="0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Alignment="1">
      <alignment horizontal="right"/>
      <protection/>
    </xf>
    <xf numFmtId="0" fontId="10" fillId="0" borderId="0" xfId="42" applyFont="1" applyFill="1" applyAlignment="1">
      <alignment horizontal="right"/>
      <protection/>
    </xf>
    <xf numFmtId="176" fontId="9" fillId="0" borderId="0" xfId="41" applyNumberFormat="1" applyFont="1" applyFill="1">
      <alignment/>
      <protection/>
    </xf>
    <xf numFmtId="178" fontId="9" fillId="0" borderId="0" xfId="41" applyNumberFormat="1" applyFont="1" applyFill="1">
      <alignment/>
      <protection/>
    </xf>
    <xf numFmtId="178" fontId="8" fillId="0" borderId="0" xfId="41" applyNumberFormat="1" applyFont="1" applyFill="1" applyAlignment="1">
      <alignment horizontal="right"/>
      <protection/>
    </xf>
    <xf numFmtId="177" fontId="13" fillId="0" borderId="0" xfId="42" applyNumberFormat="1" applyFont="1" applyFill="1" applyAlignment="1">
      <alignment horizontal="right" wrapText="1"/>
      <protection/>
    </xf>
    <xf numFmtId="177" fontId="9" fillId="0" borderId="0" xfId="42" applyNumberFormat="1" applyFont="1" applyFill="1" applyAlignment="1">
      <alignment horizontal="left" wrapText="1"/>
      <protection/>
    </xf>
    <xf numFmtId="0" fontId="10" fillId="0" borderId="0" xfId="42" applyFont="1" applyFill="1" applyBorder="1" applyAlignment="1">
      <alignment horizontal="left"/>
      <protection/>
    </xf>
    <xf numFmtId="179" fontId="14" fillId="0" borderId="0" xfId="42" applyNumberFormat="1" applyFont="1" applyFill="1" applyAlignment="1">
      <alignment horizontal="right"/>
      <protection/>
    </xf>
    <xf numFmtId="177" fontId="14" fillId="0" borderId="0" xfId="42" applyNumberFormat="1" applyFont="1" applyFill="1" applyAlignment="1">
      <alignment horizontal="center"/>
      <protection/>
    </xf>
    <xf numFmtId="177" fontId="14" fillId="0" borderId="0" xfId="42" applyNumberFormat="1" applyFont="1" applyFill="1" applyAlignment="1">
      <alignment horizontal="right"/>
      <protection/>
    </xf>
    <xf numFmtId="179" fontId="8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9" fontId="0" fillId="0" borderId="0" xfId="0" applyNumberForma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9" fontId="0" fillId="0" borderId="0" xfId="0" applyNumberForma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79" fontId="11" fillId="0" borderId="0" xfId="41" applyNumberFormat="1" applyFont="1" applyFill="1" applyAlignment="1">
      <alignment horizontal="right"/>
      <protection/>
    </xf>
    <xf numFmtId="0" fontId="11" fillId="0" borderId="0" xfId="0" applyFont="1" applyFill="1" applyAlignment="1">
      <alignment horizontal="right" vertical="center"/>
    </xf>
    <xf numFmtId="179" fontId="9" fillId="0" borderId="0" xfId="41" applyNumberFormat="1" applyFont="1" applyFill="1" applyAlignment="1">
      <alignment horizontal="right"/>
      <protection/>
    </xf>
    <xf numFmtId="17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0" xfId="41" applyFill="1">
      <alignment/>
      <protection/>
    </xf>
    <xf numFmtId="0" fontId="0" fillId="0" borderId="0" xfId="0" applyFill="1" applyAlignment="1">
      <alignment horizontal="right" vertical="center"/>
    </xf>
    <xf numFmtId="49" fontId="9" fillId="0" borderId="0" xfId="42" applyNumberFormat="1" applyFont="1" applyFill="1" applyAlignment="1">
      <alignment horizontal="right"/>
      <protection/>
    </xf>
    <xf numFmtId="0" fontId="12" fillId="0" borderId="0" xfId="42" applyFont="1" applyFill="1" applyAlignment="1">
      <alignment horizontal="right"/>
      <protection/>
    </xf>
    <xf numFmtId="0" fontId="0" fillId="0" borderId="0" xfId="42" applyFont="1" applyFill="1">
      <alignment/>
      <protection/>
    </xf>
    <xf numFmtId="0" fontId="0" fillId="0" borderId="0" xfId="42" applyFont="1" applyFill="1" applyAlignment="1">
      <alignment horizontal="right"/>
      <protection/>
    </xf>
    <xf numFmtId="0" fontId="0" fillId="0" borderId="0" xfId="42" applyFont="1" applyFill="1" applyAlignment="1">
      <alignment horizontal="left"/>
      <protection/>
    </xf>
    <xf numFmtId="0" fontId="15" fillId="0" borderId="0" xfId="42" applyFont="1" applyFill="1" applyAlignment="1">
      <alignment horizontal="right"/>
      <protection/>
    </xf>
    <xf numFmtId="0" fontId="15" fillId="0" borderId="0" xfId="42" applyFont="1" applyFill="1">
      <alignment/>
      <protection/>
    </xf>
    <xf numFmtId="177" fontId="15" fillId="0" borderId="0" xfId="42" applyNumberFormat="1" applyFont="1" applyFill="1" applyAlignment="1">
      <alignment horizontal="left"/>
      <protection/>
    </xf>
    <xf numFmtId="177" fontId="15" fillId="0" borderId="0" xfId="42" applyNumberFormat="1" applyFont="1" applyFill="1">
      <alignment/>
      <protection/>
    </xf>
    <xf numFmtId="177" fontId="15" fillId="0" borderId="0" xfId="42" applyNumberFormat="1" applyFont="1" applyFill="1" applyAlignment="1">
      <alignment horizontal="right"/>
      <protection/>
    </xf>
    <xf numFmtId="0" fontId="15" fillId="0" borderId="0" xfId="42" applyFont="1" applyFill="1" applyAlignment="1">
      <alignment horizontal="left"/>
      <protection/>
    </xf>
    <xf numFmtId="176" fontId="3" fillId="0" borderId="0" xfId="41" applyNumberFormat="1" applyFont="1" applyFill="1" applyAlignment="1">
      <alignment horizontal="center"/>
      <protection/>
    </xf>
    <xf numFmtId="176" fontId="10" fillId="0" borderId="0" xfId="41" applyNumberFormat="1" applyFont="1" applyFill="1" applyAlignment="1">
      <alignment horizontal="center"/>
      <protection/>
    </xf>
    <xf numFmtId="178" fontId="12" fillId="0" borderId="0" xfId="41" applyNumberFormat="1" applyFont="1" applyFill="1" applyAlignment="1">
      <alignment horizontal="center"/>
      <protection/>
    </xf>
    <xf numFmtId="178" fontId="12" fillId="0" borderId="0" xfId="41" applyNumberFormat="1" applyFont="1" applyFill="1" applyAlignment="1">
      <alignment horizontal="right"/>
      <protection/>
    </xf>
    <xf numFmtId="179" fontId="9" fillId="0" borderId="0" xfId="0" applyNumberFormat="1" applyFont="1" applyFill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0" fontId="9" fillId="0" borderId="0" xfId="42" applyFont="1" applyFill="1" applyAlignment="1">
      <alignment/>
      <protection/>
    </xf>
    <xf numFmtId="179" fontId="16" fillId="0" borderId="0" xfId="0" applyNumberFormat="1" applyFont="1" applyFill="1" applyAlignment="1">
      <alignment horizontal="right" vertical="center"/>
    </xf>
    <xf numFmtId="179" fontId="11" fillId="0" borderId="0" xfId="42" applyNumberFormat="1" applyFont="1" applyFill="1" applyAlignment="1">
      <alignment horizontal="right"/>
      <protection/>
    </xf>
    <xf numFmtId="179" fontId="11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78" fontId="8" fillId="0" borderId="0" xfId="42" applyNumberFormat="1" applyFont="1" applyFill="1" applyAlignment="1">
      <alignment horizontal="center"/>
      <protection/>
    </xf>
    <xf numFmtId="178" fontId="10" fillId="0" borderId="0" xfId="42" applyNumberFormat="1" applyFont="1" applyFill="1" applyAlignment="1">
      <alignment horizontal="left"/>
      <protection/>
    </xf>
    <xf numFmtId="177" fontId="9" fillId="0" borderId="0" xfId="42" applyNumberFormat="1" applyFont="1" applyFill="1" applyAlignment="1">
      <alignment/>
      <protection/>
    </xf>
    <xf numFmtId="0" fontId="10" fillId="0" borderId="0" xfId="42" applyFont="1" applyFill="1" applyBorder="1" applyAlignment="1">
      <alignment/>
      <protection/>
    </xf>
    <xf numFmtId="0" fontId="8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7" fontId="10" fillId="0" borderId="0" xfId="42" applyNumberFormat="1" applyFont="1" applyFill="1" applyAlignment="1">
      <alignment horizontal="right"/>
      <protection/>
    </xf>
    <xf numFmtId="176" fontId="18" fillId="0" borderId="0" xfId="41" applyNumberFormat="1" applyFont="1" applyFill="1" applyAlignment="1">
      <alignment horizontal="right"/>
      <protection/>
    </xf>
    <xf numFmtId="176" fontId="7" fillId="0" borderId="0" xfId="41" applyNumberFormat="1" applyFont="1" applyFill="1" applyAlignment="1">
      <alignment horizontal="right"/>
      <protection/>
    </xf>
    <xf numFmtId="176" fontId="3" fillId="0" borderId="0" xfId="41" applyNumberFormat="1" applyFont="1" applyFill="1" applyAlignment="1">
      <alignment horizontal="right"/>
      <protection/>
    </xf>
    <xf numFmtId="176" fontId="12" fillId="0" borderId="0" xfId="41" applyNumberFormat="1" applyFont="1" applyFill="1" applyBorder="1" applyAlignment="1">
      <alignment horizontal="right"/>
      <protection/>
    </xf>
    <xf numFmtId="0" fontId="8" fillId="0" borderId="0" xfId="41" applyFont="1" applyFill="1" applyAlignment="1">
      <alignment horizontal="right"/>
      <protection/>
    </xf>
    <xf numFmtId="0" fontId="8" fillId="0" borderId="0" xfId="42" applyFont="1" applyAlignment="1">
      <alignment horizontal="right"/>
      <protection/>
    </xf>
    <xf numFmtId="0" fontId="8" fillId="0" borderId="0" xfId="41" applyFont="1">
      <alignment/>
      <protection/>
    </xf>
    <xf numFmtId="0" fontId="8" fillId="0" borderId="0" xfId="42" applyFont="1" applyFill="1" applyAlignment="1">
      <alignment horizontal="center" wrapText="1"/>
      <protection/>
    </xf>
    <xf numFmtId="177" fontId="13" fillId="0" borderId="0" xfId="42" applyNumberFormat="1" applyFont="1" applyFill="1" applyAlignment="1">
      <alignment horizontal="center" wrapText="1"/>
      <protection/>
    </xf>
    <xf numFmtId="0" fontId="8" fillId="0" borderId="0" xfId="41" applyFont="1" applyFill="1">
      <alignment/>
      <protection/>
    </xf>
    <xf numFmtId="0" fontId="9" fillId="0" borderId="0" xfId="41" applyFont="1" applyFill="1">
      <alignment/>
      <protection/>
    </xf>
    <xf numFmtId="179" fontId="11" fillId="0" borderId="0" xfId="40" applyNumberFormat="1" applyFont="1" applyFill="1" applyAlignment="1">
      <alignment horizontal="right"/>
      <protection/>
    </xf>
    <xf numFmtId="179" fontId="9" fillId="0" borderId="0" xfId="40" applyNumberFormat="1" applyFont="1" applyFill="1" applyAlignment="1">
      <alignment horizontal="right"/>
      <protection/>
    </xf>
    <xf numFmtId="176" fontId="19" fillId="0" borderId="0" xfId="41" applyNumberFormat="1" applyFont="1" applyFill="1" applyAlignment="1">
      <alignment horizontal="right"/>
      <protection/>
    </xf>
    <xf numFmtId="176" fontId="1" fillId="0" borderId="0" xfId="41" applyNumberFormat="1" applyFont="1" applyFill="1" applyAlignment="1">
      <alignment horizontal="right"/>
      <protection/>
    </xf>
    <xf numFmtId="176" fontId="8" fillId="0" borderId="10" xfId="41" applyNumberFormat="1" applyFont="1" applyFill="1" applyBorder="1" applyAlignment="1">
      <alignment horizontal="right"/>
      <protection/>
    </xf>
    <xf numFmtId="176" fontId="10" fillId="33" borderId="11" xfId="41" applyNumberFormat="1" applyFont="1" applyFill="1" applyBorder="1" applyAlignment="1">
      <alignment horizontal="center"/>
      <protection/>
    </xf>
    <xf numFmtId="176" fontId="3" fillId="33" borderId="11" xfId="41" applyNumberFormat="1" applyFont="1" applyFill="1" applyBorder="1" applyAlignment="1">
      <alignment horizontal="center"/>
      <protection/>
    </xf>
    <xf numFmtId="177" fontId="9" fillId="0" borderId="0" xfId="42" applyNumberFormat="1" applyFont="1" applyFill="1" applyAlignment="1">
      <alignment horizontal="right" wrapText="1"/>
      <protection/>
    </xf>
    <xf numFmtId="0" fontId="8" fillId="0" borderId="0" xfId="42" applyFont="1" applyFill="1" applyAlignment="1">
      <alignment horizontal="center"/>
      <protection/>
    </xf>
    <xf numFmtId="0" fontId="10" fillId="0" borderId="0" xfId="42" applyFont="1" applyFill="1" applyAlignment="1">
      <alignment horizontal="center"/>
      <protection/>
    </xf>
    <xf numFmtId="177" fontId="9" fillId="0" borderId="0" xfId="42" applyNumberFormat="1" applyFont="1" applyFill="1" applyAlignment="1">
      <alignment horizontal="center" wrapText="1"/>
      <protection/>
    </xf>
    <xf numFmtId="177" fontId="9" fillId="0" borderId="0" xfId="42" applyNumberFormat="1" applyFont="1" applyFill="1" applyAlignment="1">
      <alignment horizontal="left" wrapText="1"/>
      <protection/>
    </xf>
    <xf numFmtId="176" fontId="10" fillId="0" borderId="0" xfId="41" applyNumberFormat="1" applyFont="1" applyFill="1" applyBorder="1" applyAlignment="1">
      <alignment horizontal="center"/>
      <protection/>
    </xf>
    <xf numFmtId="176" fontId="19" fillId="0" borderId="0" xfId="41" applyNumberFormat="1" applyFont="1" applyFill="1" applyAlignment="1">
      <alignment horizontal="center"/>
      <protection/>
    </xf>
    <xf numFmtId="176" fontId="1" fillId="0" borderId="0" xfId="41" applyNumberFormat="1" applyFont="1" applyFill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北京现代" xfId="40"/>
    <cellStyle name="常规_北京现代  (2)" xfId="41"/>
    <cellStyle name="常规_最新配方汇总 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266700</xdr:rowOff>
    </xdr:from>
    <xdr:to>
      <xdr:col>2</xdr:col>
      <xdr:colOff>523875</xdr:colOff>
      <xdr:row>1</xdr:row>
      <xdr:rowOff>114300</xdr:rowOff>
    </xdr:to>
    <xdr:pic>
      <xdr:nvPicPr>
        <xdr:cNvPr id="1" name="Picture 1" descr="onw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62</xdr:row>
      <xdr:rowOff>66675</xdr:rowOff>
    </xdr:from>
    <xdr:to>
      <xdr:col>2</xdr:col>
      <xdr:colOff>609600</xdr:colOff>
      <xdr:row>63</xdr:row>
      <xdr:rowOff>152400</xdr:rowOff>
    </xdr:to>
    <xdr:pic>
      <xdr:nvPicPr>
        <xdr:cNvPr id="2" name="Picture 2" descr="onw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077700"/>
          <a:ext cx="914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119</xdr:row>
      <xdr:rowOff>47625</xdr:rowOff>
    </xdr:from>
    <xdr:to>
      <xdr:col>2</xdr:col>
      <xdr:colOff>514350</xdr:colOff>
      <xdr:row>120</xdr:row>
      <xdr:rowOff>142875</xdr:rowOff>
    </xdr:to>
    <xdr:pic>
      <xdr:nvPicPr>
        <xdr:cNvPr id="3" name="Picture 3" descr="onw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63140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179</xdr:row>
      <xdr:rowOff>47625</xdr:rowOff>
    </xdr:from>
    <xdr:to>
      <xdr:col>2</xdr:col>
      <xdr:colOff>514350</xdr:colOff>
      <xdr:row>180</xdr:row>
      <xdr:rowOff>142875</xdr:rowOff>
    </xdr:to>
    <xdr:pic>
      <xdr:nvPicPr>
        <xdr:cNvPr id="4" name="Picture 4" descr="onw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4166175"/>
          <a:ext cx="914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236</xdr:row>
      <xdr:rowOff>66675</xdr:rowOff>
    </xdr:from>
    <xdr:to>
      <xdr:col>2</xdr:col>
      <xdr:colOff>609600</xdr:colOff>
      <xdr:row>237</xdr:row>
      <xdr:rowOff>142875</xdr:rowOff>
    </xdr:to>
    <xdr:pic>
      <xdr:nvPicPr>
        <xdr:cNvPr id="5" name="Picture 5" descr="onw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486275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3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B15" sqref="AB15"/>
    </sheetView>
  </sheetViews>
  <sheetFormatPr defaultColWidth="9.00390625" defaultRowHeight="14.25"/>
  <cols>
    <col min="1" max="1" width="6.625" style="86" customWidth="1"/>
    <col min="2" max="2" width="7.875" style="84" hidden="1" customWidth="1"/>
    <col min="3" max="3" width="11.625" style="85" customWidth="1"/>
    <col min="4" max="4" width="4.25390625" style="84" customWidth="1"/>
    <col min="5" max="5" width="6.375" style="83" customWidth="1"/>
    <col min="6" max="6" width="7.375" style="84" hidden="1" customWidth="1"/>
    <col min="7" max="7" width="11.625" style="85" customWidth="1"/>
    <col min="8" max="8" width="4.00390625" style="84" customWidth="1"/>
    <col min="9" max="9" width="7.125" style="83" customWidth="1"/>
    <col min="10" max="10" width="6.625" style="82" hidden="1" customWidth="1"/>
    <col min="11" max="11" width="9.25390625" style="81" customWidth="1"/>
    <col min="12" max="12" width="4.50390625" style="78" customWidth="1"/>
    <col min="13" max="13" width="6.625" style="80" customWidth="1"/>
    <col min="14" max="14" width="9.125" style="78" hidden="1" customWidth="1"/>
    <col min="15" max="15" width="13.00390625" style="79" customWidth="1"/>
    <col min="16" max="16" width="4.625" style="78" customWidth="1"/>
    <col min="17" max="17" width="6.50390625" style="80" customWidth="1"/>
    <col min="18" max="18" width="9.125" style="78" hidden="1" customWidth="1"/>
    <col min="19" max="19" width="10.375" style="79" customWidth="1"/>
    <col min="20" max="20" width="11.00390625" style="2" customWidth="1"/>
    <col min="21" max="21" width="9.00390625" style="2" customWidth="1"/>
    <col min="22" max="22" width="12.625" style="2" hidden="1" customWidth="1"/>
    <col min="23" max="23" width="9.00390625" style="2" customWidth="1"/>
    <col min="24" max="24" width="9.00390625" style="2" hidden="1" customWidth="1"/>
    <col min="25" max="25" width="9.00390625" style="2" customWidth="1"/>
    <col min="26" max="26" width="9.00390625" style="2" hidden="1" customWidth="1"/>
    <col min="27" max="254" width="9.00390625" style="2" customWidth="1"/>
    <col min="255" max="255" width="9.00390625" style="1" bestFit="1" customWidth="1"/>
    <col min="256" max="16384" width="9.00390625" style="1" customWidth="1"/>
  </cols>
  <sheetData>
    <row r="1" spans="1:19" s="3" customFormat="1" ht="51" customHeight="1">
      <c r="A1" s="130" t="s">
        <v>229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s="3" customFormat="1" ht="15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s="4" customFormat="1" ht="15" customHeight="1">
      <c r="A3" s="122" t="s">
        <v>1</v>
      </c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254" s="4" customFormat="1" ht="19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s="15" customFormat="1" ht="22.5" customHeight="1">
      <c r="A5" s="11" t="s">
        <v>2</v>
      </c>
      <c r="B5" s="12"/>
      <c r="C5" s="9" t="s">
        <v>3</v>
      </c>
      <c r="D5" s="13"/>
      <c r="E5" s="11" t="s">
        <v>2</v>
      </c>
      <c r="F5" s="12"/>
      <c r="G5" s="9" t="s">
        <v>3</v>
      </c>
      <c r="H5" s="14"/>
      <c r="I5" s="11" t="s">
        <v>2</v>
      </c>
      <c r="J5" s="12"/>
      <c r="K5" s="9" t="s">
        <v>3</v>
      </c>
      <c r="M5" s="57" t="s">
        <v>2</v>
      </c>
      <c r="N5" s="68"/>
      <c r="O5" s="35" t="s">
        <v>4</v>
      </c>
      <c r="Q5" s="11" t="s">
        <v>2</v>
      </c>
      <c r="R5" s="12"/>
      <c r="S5" s="9" t="s">
        <v>3</v>
      </c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15" customFormat="1" ht="14.25" customHeight="1">
      <c r="A6" s="11" t="s">
        <v>5</v>
      </c>
      <c r="B6" s="12"/>
      <c r="C6" s="16" t="s">
        <v>6</v>
      </c>
      <c r="D6" s="17"/>
      <c r="E6" s="11" t="s">
        <v>5</v>
      </c>
      <c r="F6" s="12"/>
      <c r="G6" s="16" t="s">
        <v>6</v>
      </c>
      <c r="I6" s="11" t="s">
        <v>5</v>
      </c>
      <c r="J6" s="12"/>
      <c r="K6" s="16" t="s">
        <v>6</v>
      </c>
      <c r="M6" s="57" t="s">
        <v>5</v>
      </c>
      <c r="N6" s="68"/>
      <c r="O6" s="70" t="s">
        <v>7</v>
      </c>
      <c r="Q6" s="11" t="s">
        <v>5</v>
      </c>
      <c r="R6" s="12"/>
      <c r="S6" s="16" t="s">
        <v>7</v>
      </c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</row>
    <row r="7" spans="1:254" s="15" customFormat="1" ht="14.25" customHeight="1">
      <c r="A7" s="11" t="s">
        <v>8</v>
      </c>
      <c r="B7" s="12"/>
      <c r="C7" s="16" t="s">
        <v>9</v>
      </c>
      <c r="D7" s="17"/>
      <c r="E7" s="11" t="s">
        <v>8</v>
      </c>
      <c r="F7" s="12"/>
      <c r="G7" s="16" t="s">
        <v>10</v>
      </c>
      <c r="I7" s="11" t="s">
        <v>8</v>
      </c>
      <c r="J7" s="12"/>
      <c r="K7" s="16" t="s">
        <v>11</v>
      </c>
      <c r="M7" s="57" t="s">
        <v>8</v>
      </c>
      <c r="N7" s="68"/>
      <c r="O7" s="69" t="s">
        <v>12</v>
      </c>
      <c r="Q7" s="11" t="s">
        <v>8</v>
      </c>
      <c r="R7" s="12"/>
      <c r="S7" s="16" t="s">
        <v>13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</row>
    <row r="8" spans="1:254" s="15" customFormat="1" ht="14.25" customHeight="1">
      <c r="A8" s="11" t="s">
        <v>14</v>
      </c>
      <c r="B8" s="12"/>
      <c r="C8" s="9" t="s">
        <v>15</v>
      </c>
      <c r="D8" s="17"/>
      <c r="E8" s="11" t="s">
        <v>14</v>
      </c>
      <c r="F8" s="12"/>
      <c r="G8" s="9" t="s">
        <v>16</v>
      </c>
      <c r="I8" s="11" t="s">
        <v>14</v>
      </c>
      <c r="J8" s="12"/>
      <c r="K8" s="9" t="s">
        <v>17</v>
      </c>
      <c r="M8" s="57" t="s">
        <v>14</v>
      </c>
      <c r="N8" s="68"/>
      <c r="O8" s="67" t="s">
        <v>17</v>
      </c>
      <c r="Q8" s="11" t="s">
        <v>14</v>
      </c>
      <c r="R8" s="12"/>
      <c r="S8" s="9" t="s">
        <v>18</v>
      </c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</row>
    <row r="9" spans="1:254" s="15" customFormat="1" ht="14.25" customHeight="1">
      <c r="A9" s="18" t="s">
        <v>19</v>
      </c>
      <c r="B9" s="19">
        <v>19</v>
      </c>
      <c r="C9" s="20">
        <f aca="true" t="shared" si="0" ref="C9:C17">B9/136*$C$18</f>
        <v>139.7058823529412</v>
      </c>
      <c r="D9" s="21"/>
      <c r="E9" s="18" t="s">
        <v>19</v>
      </c>
      <c r="F9" s="19">
        <v>19</v>
      </c>
      <c r="G9" s="20">
        <f aca="true" t="shared" si="1" ref="G9:G17">F9/139.4*$G$18</f>
        <v>136.29842180774747</v>
      </c>
      <c r="I9" s="22" t="s">
        <v>19</v>
      </c>
      <c r="J9" s="23">
        <v>19</v>
      </c>
      <c r="K9" s="7">
        <f aca="true" t="shared" si="2" ref="K9:K18">J9/137.9*$K$19</f>
        <v>137.78100072516315</v>
      </c>
      <c r="M9" s="92" t="s">
        <v>20</v>
      </c>
      <c r="N9" s="92">
        <v>551.9</v>
      </c>
      <c r="O9" s="92">
        <f aca="true" t="shared" si="3" ref="O9:O14">N9/849.15*$O$15</f>
        <v>649.9440617087677</v>
      </c>
      <c r="Q9" s="24" t="s">
        <v>21</v>
      </c>
      <c r="R9" s="25">
        <v>492.908625900953</v>
      </c>
      <c r="S9" s="54">
        <f aca="true" t="shared" si="4" ref="S9:S14">R9/1000*$S$15</f>
        <v>492.908625900953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</row>
    <row r="10" spans="1:254" s="15" customFormat="1" ht="14.25" customHeight="1">
      <c r="A10" s="18" t="s">
        <v>22</v>
      </c>
      <c r="B10" s="19">
        <v>30</v>
      </c>
      <c r="C10" s="20">
        <f t="shared" si="0"/>
        <v>220.58823529411765</v>
      </c>
      <c r="D10" s="21"/>
      <c r="E10" s="18" t="s">
        <v>22</v>
      </c>
      <c r="F10" s="19">
        <v>30</v>
      </c>
      <c r="G10" s="20">
        <f t="shared" si="1"/>
        <v>215.20803443328552</v>
      </c>
      <c r="I10" s="22" t="s">
        <v>22</v>
      </c>
      <c r="J10" s="23">
        <v>30</v>
      </c>
      <c r="K10" s="7">
        <f t="shared" si="2"/>
        <v>217.5489485134155</v>
      </c>
      <c r="M10" s="92" t="s">
        <v>22</v>
      </c>
      <c r="N10" s="92">
        <v>239.1</v>
      </c>
      <c r="O10" s="92">
        <f t="shared" si="3"/>
        <v>281.5756933403992</v>
      </c>
      <c r="Q10" s="24" t="s">
        <v>19</v>
      </c>
      <c r="R10" s="25">
        <v>452.220413857243</v>
      </c>
      <c r="S10" s="54">
        <f t="shared" si="4"/>
        <v>452.220413857243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</row>
    <row r="11" spans="1:254" s="15" customFormat="1" ht="14.25" customHeight="1">
      <c r="A11" s="18" t="s">
        <v>23</v>
      </c>
      <c r="B11" s="19">
        <v>62</v>
      </c>
      <c r="C11" s="20">
        <f t="shared" si="0"/>
        <v>455.88235294117646</v>
      </c>
      <c r="D11" s="21"/>
      <c r="E11" s="18" t="s">
        <v>23</v>
      </c>
      <c r="F11" s="19">
        <v>62</v>
      </c>
      <c r="G11" s="20">
        <f t="shared" si="1"/>
        <v>444.7632711621234</v>
      </c>
      <c r="I11" s="22" t="s">
        <v>23</v>
      </c>
      <c r="J11" s="23">
        <v>62</v>
      </c>
      <c r="K11" s="7">
        <f t="shared" si="2"/>
        <v>449.60116026105874</v>
      </c>
      <c r="M11" s="92" t="s">
        <v>24</v>
      </c>
      <c r="N11" s="92">
        <v>3.59</v>
      </c>
      <c r="O11" s="92">
        <f t="shared" si="3"/>
        <v>4.227757168933639</v>
      </c>
      <c r="Q11" s="24" t="s">
        <v>25</v>
      </c>
      <c r="R11" s="25">
        <v>3.25505696349686</v>
      </c>
      <c r="S11" s="54">
        <f t="shared" si="4"/>
        <v>3.25505696349686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</row>
    <row r="12" spans="1:254" s="15" customFormat="1" ht="14.25" customHeight="1">
      <c r="A12" s="18" t="s">
        <v>25</v>
      </c>
      <c r="B12" s="19">
        <v>8.5</v>
      </c>
      <c r="C12" s="20">
        <f t="shared" si="0"/>
        <v>62.5</v>
      </c>
      <c r="D12" s="21"/>
      <c r="E12" s="18" t="s">
        <v>25</v>
      </c>
      <c r="F12" s="19">
        <v>10.2</v>
      </c>
      <c r="G12" s="20">
        <f t="shared" si="1"/>
        <v>73.17073170731707</v>
      </c>
      <c r="I12" s="22" t="s">
        <v>25</v>
      </c>
      <c r="J12" s="23">
        <v>8</v>
      </c>
      <c r="K12" s="7">
        <f t="shared" si="2"/>
        <v>58.0130529369108</v>
      </c>
      <c r="M12" s="92" t="s">
        <v>26</v>
      </c>
      <c r="N12" s="92">
        <v>0.76</v>
      </c>
      <c r="O12" s="92">
        <f t="shared" si="3"/>
        <v>0.895012659718542</v>
      </c>
      <c r="Q12" s="24" t="s">
        <v>24</v>
      </c>
      <c r="R12" s="25">
        <v>6.74261799581493</v>
      </c>
      <c r="S12" s="54">
        <f t="shared" si="4"/>
        <v>6.74261799581493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254" s="15" customFormat="1" ht="14.25" customHeight="1">
      <c r="A13" s="18" t="s">
        <v>27</v>
      </c>
      <c r="B13" s="19">
        <v>1.5</v>
      </c>
      <c r="C13" s="20">
        <f t="shared" si="0"/>
        <v>11.029411764705882</v>
      </c>
      <c r="D13" s="21"/>
      <c r="E13" s="18" t="s">
        <v>27</v>
      </c>
      <c r="F13" s="19">
        <v>1.2</v>
      </c>
      <c r="G13" s="20">
        <f t="shared" si="1"/>
        <v>8.60832137733142</v>
      </c>
      <c r="I13" s="22" t="s">
        <v>27</v>
      </c>
      <c r="J13" s="23">
        <v>1.2</v>
      </c>
      <c r="K13" s="7">
        <f t="shared" si="2"/>
        <v>8.701957940536621</v>
      </c>
      <c r="M13" s="92" t="s">
        <v>28</v>
      </c>
      <c r="N13" s="92">
        <v>50.57</v>
      </c>
      <c r="O13" s="92">
        <f t="shared" si="3"/>
        <v>59.553671318377205</v>
      </c>
      <c r="Q13" s="24" t="s">
        <v>28</v>
      </c>
      <c r="R13" s="25">
        <v>44.1757730760288</v>
      </c>
      <c r="S13" s="54">
        <f t="shared" si="4"/>
        <v>44.1757730760288</v>
      </c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</row>
    <row r="14" spans="1:254" s="15" customFormat="1" ht="14.25" customHeight="1">
      <c r="A14" s="18" t="s">
        <v>29</v>
      </c>
      <c r="B14" s="19">
        <v>1</v>
      </c>
      <c r="C14" s="20">
        <f t="shared" si="0"/>
        <v>7.352941176470588</v>
      </c>
      <c r="D14" s="21"/>
      <c r="E14" s="18" t="s">
        <v>29</v>
      </c>
      <c r="F14" s="19">
        <v>1.7</v>
      </c>
      <c r="G14" s="20">
        <f t="shared" si="1"/>
        <v>12.19512195121951</v>
      </c>
      <c r="I14" s="22" t="s">
        <v>29</v>
      </c>
      <c r="J14" s="23">
        <v>1.7</v>
      </c>
      <c r="K14" s="7">
        <f t="shared" si="2"/>
        <v>12.327773749093547</v>
      </c>
      <c r="M14" s="92" t="s">
        <v>29</v>
      </c>
      <c r="N14" s="92">
        <v>3.23</v>
      </c>
      <c r="O14" s="92">
        <f t="shared" si="3"/>
        <v>3.8038038038038042</v>
      </c>
      <c r="Q14" s="24" t="s">
        <v>29</v>
      </c>
      <c r="R14" s="25">
        <v>0.697512206463613</v>
      </c>
      <c r="S14" s="54">
        <f t="shared" si="4"/>
        <v>0.697512206463613</v>
      </c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</row>
    <row r="15" spans="1:254" s="15" customFormat="1" ht="14.25" customHeight="1">
      <c r="A15" s="18" t="s">
        <v>28</v>
      </c>
      <c r="B15" s="19">
        <v>5</v>
      </c>
      <c r="C15" s="20">
        <f t="shared" si="0"/>
        <v>36.76470588235294</v>
      </c>
      <c r="D15" s="21"/>
      <c r="E15" s="18" t="s">
        <v>28</v>
      </c>
      <c r="F15" s="19">
        <v>5</v>
      </c>
      <c r="G15" s="20">
        <f t="shared" si="1"/>
        <v>35.86800573888092</v>
      </c>
      <c r="I15" s="22" t="s">
        <v>28</v>
      </c>
      <c r="J15" s="23">
        <v>5</v>
      </c>
      <c r="K15" s="7">
        <f t="shared" si="2"/>
        <v>36.25815808556925</v>
      </c>
      <c r="M15" s="67" t="s">
        <v>30</v>
      </c>
      <c r="N15" s="67"/>
      <c r="O15" s="91">
        <v>1000</v>
      </c>
      <c r="Q15" s="26" t="s">
        <v>30</v>
      </c>
      <c r="S15" s="53">
        <v>1000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</row>
    <row r="16" spans="1:254" s="15" customFormat="1" ht="14.25" customHeight="1">
      <c r="A16" s="18" t="s">
        <v>31</v>
      </c>
      <c r="B16" s="19">
        <v>8.5</v>
      </c>
      <c r="C16" s="20">
        <f t="shared" si="0"/>
        <v>62.5</v>
      </c>
      <c r="D16" s="21"/>
      <c r="E16" s="18" t="s">
        <v>24</v>
      </c>
      <c r="F16" s="19">
        <v>1.8</v>
      </c>
      <c r="G16" s="20">
        <f t="shared" si="1"/>
        <v>12.91248206599713</v>
      </c>
      <c r="I16" s="22" t="s">
        <v>24</v>
      </c>
      <c r="J16" s="23">
        <v>1.8</v>
      </c>
      <c r="K16" s="7">
        <f t="shared" si="2"/>
        <v>13.052936910804931</v>
      </c>
      <c r="M16" s="27"/>
      <c r="N16" s="28"/>
      <c r="O16" s="27"/>
      <c r="P16" s="25"/>
      <c r="Q16" s="5"/>
      <c r="R16" s="52"/>
      <c r="S16" s="26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</row>
    <row r="17" spans="1:254" s="15" customFormat="1" ht="14.25" customHeight="1">
      <c r="A17" s="18" t="s">
        <v>32</v>
      </c>
      <c r="B17" s="19">
        <v>0.5</v>
      </c>
      <c r="C17" s="20">
        <f t="shared" si="0"/>
        <v>3.676470588235294</v>
      </c>
      <c r="D17" s="21"/>
      <c r="E17" s="18" t="s">
        <v>31</v>
      </c>
      <c r="F17" s="19">
        <v>8.5</v>
      </c>
      <c r="G17" s="20">
        <f t="shared" si="1"/>
        <v>60.97560975609756</v>
      </c>
      <c r="I17" s="22" t="s">
        <v>31</v>
      </c>
      <c r="J17" s="23">
        <v>8.5</v>
      </c>
      <c r="K17" s="7">
        <f t="shared" si="2"/>
        <v>61.638868745467725</v>
      </c>
      <c r="Q17" s="5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</row>
    <row r="18" spans="1:254" s="15" customFormat="1" ht="15.75" customHeight="1">
      <c r="A18" s="8" t="s">
        <v>30</v>
      </c>
      <c r="C18" s="10">
        <v>1000</v>
      </c>
      <c r="D18" s="21"/>
      <c r="E18" s="8" t="s">
        <v>30</v>
      </c>
      <c r="G18" s="10">
        <v>1000</v>
      </c>
      <c r="I18" s="22" t="s">
        <v>33</v>
      </c>
      <c r="J18" s="23">
        <v>0.7</v>
      </c>
      <c r="K18" s="7">
        <f t="shared" si="2"/>
        <v>5.076142131979695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</row>
    <row r="19" spans="1:254" s="15" customFormat="1" ht="14.25" customHeight="1">
      <c r="A19" s="11"/>
      <c r="B19" s="12"/>
      <c r="C19" s="9"/>
      <c r="E19" s="11"/>
      <c r="F19" s="12"/>
      <c r="G19" s="9"/>
      <c r="H19" s="14"/>
      <c r="I19" s="8" t="s">
        <v>30</v>
      </c>
      <c r="K19" s="29">
        <v>1000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</row>
    <row r="20" spans="1:254" s="15" customFormat="1" ht="14.25" customHeight="1">
      <c r="A20" s="11"/>
      <c r="B20" s="12"/>
      <c r="C20" s="9"/>
      <c r="E20" s="11"/>
      <c r="F20" s="12"/>
      <c r="G20" s="9"/>
      <c r="H20" s="14"/>
      <c r="I20" s="8"/>
      <c r="K20" s="29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</row>
    <row r="21" spans="1:254" s="15" customFormat="1" ht="14.25" customHeight="1">
      <c r="A21" s="11" t="s">
        <v>2</v>
      </c>
      <c r="B21" s="12"/>
      <c r="C21" s="9" t="s">
        <v>3</v>
      </c>
      <c r="E21" s="57" t="s">
        <v>2</v>
      </c>
      <c r="F21" s="68"/>
      <c r="G21" s="71"/>
      <c r="H21" s="14"/>
      <c r="I21" s="11" t="s">
        <v>2</v>
      </c>
      <c r="J21" s="12"/>
      <c r="K21" s="9" t="s">
        <v>3</v>
      </c>
      <c r="M21" s="11" t="s">
        <v>2</v>
      </c>
      <c r="N21" s="12"/>
      <c r="O21" s="9" t="s">
        <v>34</v>
      </c>
      <c r="Q21" s="11" t="s">
        <v>2</v>
      </c>
      <c r="R21" s="12"/>
      <c r="S21" s="9" t="s">
        <v>34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</row>
    <row r="22" spans="1:254" s="15" customFormat="1" ht="14.25" customHeight="1">
      <c r="A22" s="11" t="s">
        <v>5</v>
      </c>
      <c r="B22" s="12"/>
      <c r="C22" s="16" t="s">
        <v>35</v>
      </c>
      <c r="E22" s="57" t="s">
        <v>5</v>
      </c>
      <c r="F22" s="68"/>
      <c r="G22" s="70" t="s">
        <v>35</v>
      </c>
      <c r="H22" s="14"/>
      <c r="I22" s="11" t="s">
        <v>5</v>
      </c>
      <c r="J22" s="12"/>
      <c r="K22" s="16" t="s">
        <v>35</v>
      </c>
      <c r="M22" s="11" t="s">
        <v>5</v>
      </c>
      <c r="N22" s="12"/>
      <c r="O22" s="16" t="s">
        <v>36</v>
      </c>
      <c r="Q22" s="11" t="s">
        <v>5</v>
      </c>
      <c r="R22" s="12"/>
      <c r="S22" s="16" t="s">
        <v>36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</row>
    <row r="23" spans="1:254" s="15" customFormat="1" ht="14.25" customHeight="1">
      <c r="A23" s="11" t="s">
        <v>8</v>
      </c>
      <c r="B23" s="12"/>
      <c r="C23" s="16" t="s">
        <v>37</v>
      </c>
      <c r="E23" s="57" t="s">
        <v>8</v>
      </c>
      <c r="F23" s="68"/>
      <c r="G23" s="69" t="s">
        <v>38</v>
      </c>
      <c r="H23" s="14"/>
      <c r="I23" s="11" t="s">
        <v>8</v>
      </c>
      <c r="J23" s="12"/>
      <c r="K23" s="16" t="s">
        <v>39</v>
      </c>
      <c r="M23" s="11" t="s">
        <v>8</v>
      </c>
      <c r="N23" s="12"/>
      <c r="O23" s="16" t="s">
        <v>40</v>
      </c>
      <c r="Q23" s="11" t="s">
        <v>8</v>
      </c>
      <c r="R23" s="12"/>
      <c r="S23" s="16" t="s">
        <v>41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</row>
    <row r="24" spans="1:254" s="15" customFormat="1" ht="14.25" customHeight="1">
      <c r="A24" s="11" t="s">
        <v>14</v>
      </c>
      <c r="B24" s="12"/>
      <c r="C24" s="9" t="s">
        <v>17</v>
      </c>
      <c r="E24" s="57" t="s">
        <v>14</v>
      </c>
      <c r="F24" s="68"/>
      <c r="G24" s="67" t="s">
        <v>42</v>
      </c>
      <c r="H24" s="14"/>
      <c r="I24" s="11" t="s">
        <v>14</v>
      </c>
      <c r="J24" s="12"/>
      <c r="K24" s="9" t="s">
        <v>15</v>
      </c>
      <c r="M24" s="11" t="s">
        <v>14</v>
      </c>
      <c r="N24" s="12"/>
      <c r="O24" s="9" t="s">
        <v>17</v>
      </c>
      <c r="Q24" s="11" t="s">
        <v>14</v>
      </c>
      <c r="R24" s="12"/>
      <c r="S24" s="9" t="s">
        <v>43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</row>
    <row r="25" spans="1:254" s="15" customFormat="1" ht="14.25" customHeight="1">
      <c r="A25" s="6" t="s">
        <v>44</v>
      </c>
      <c r="B25" s="6">
        <v>218.48</v>
      </c>
      <c r="C25" s="32">
        <f aca="true" t="shared" si="5" ref="C25:C32">B25/1000*$C$33</f>
        <v>218.48</v>
      </c>
      <c r="E25" s="64" t="s">
        <v>26</v>
      </c>
      <c r="F25" s="64">
        <v>10.7</v>
      </c>
      <c r="G25" s="64">
        <f aca="true" t="shared" si="6" ref="G25:G33">F25/85*$G$34</f>
        <v>125.88235294117648</v>
      </c>
      <c r="H25" s="14"/>
      <c r="I25" s="24" t="s">
        <v>44</v>
      </c>
      <c r="J25" s="25">
        <v>230.191256830601</v>
      </c>
      <c r="K25" s="32">
        <f aca="true" t="shared" si="7" ref="K25:K31">J25/1000*$K$32</f>
        <v>230.191256830601</v>
      </c>
      <c r="M25" s="6" t="s">
        <v>22</v>
      </c>
      <c r="N25" s="13">
        <v>68.1</v>
      </c>
      <c r="O25" s="32">
        <f aca="true" t="shared" si="8" ref="O25:O32">N25/101.3*$O$33</f>
        <v>672.2606120434353</v>
      </c>
      <c r="Q25" s="5" t="s">
        <v>45</v>
      </c>
      <c r="R25" s="13">
        <v>311.34</v>
      </c>
      <c r="S25" s="32">
        <f aca="true" t="shared" si="9" ref="S25:S32">R25/999.97*$S$33</f>
        <v>311.3493404802144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</row>
    <row r="26" spans="1:254" s="15" customFormat="1" ht="14.25" customHeight="1">
      <c r="A26" s="6" t="s">
        <v>26</v>
      </c>
      <c r="B26" s="6">
        <v>154.73</v>
      </c>
      <c r="C26" s="32">
        <f t="shared" si="5"/>
        <v>154.73</v>
      </c>
      <c r="E26" s="64" t="s">
        <v>44</v>
      </c>
      <c r="F26" s="64">
        <v>16.4</v>
      </c>
      <c r="G26" s="64">
        <f t="shared" si="6"/>
        <v>192.94117647058823</v>
      </c>
      <c r="H26" s="14"/>
      <c r="I26" s="24" t="s">
        <v>26</v>
      </c>
      <c r="J26" s="25">
        <v>163.023679417122</v>
      </c>
      <c r="K26" s="32">
        <f t="shared" si="7"/>
        <v>163.023679417122</v>
      </c>
      <c r="M26" s="6" t="s">
        <v>24</v>
      </c>
      <c r="N26" s="13">
        <v>13.2</v>
      </c>
      <c r="O26" s="32">
        <f t="shared" si="8"/>
        <v>130.3060217176703</v>
      </c>
      <c r="Q26" s="5" t="s">
        <v>22</v>
      </c>
      <c r="R26" s="13">
        <v>449.31</v>
      </c>
      <c r="S26" s="32">
        <f t="shared" si="9"/>
        <v>449.3234797043911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</row>
    <row r="27" spans="1:254" s="15" customFormat="1" ht="14.25" customHeight="1">
      <c r="A27" s="6" t="s">
        <v>46</v>
      </c>
      <c r="B27" s="6">
        <v>224.48</v>
      </c>
      <c r="C27" s="32">
        <f t="shared" si="5"/>
        <v>224.48</v>
      </c>
      <c r="E27" s="64" t="s">
        <v>46</v>
      </c>
      <c r="F27" s="64">
        <v>16.7</v>
      </c>
      <c r="G27" s="64">
        <f t="shared" si="6"/>
        <v>196.47058823529412</v>
      </c>
      <c r="H27" s="14"/>
      <c r="I27" s="24" t="s">
        <v>46</v>
      </c>
      <c r="J27" s="25">
        <v>206.511839708561</v>
      </c>
      <c r="K27" s="32">
        <f t="shared" si="7"/>
        <v>206.511839708561</v>
      </c>
      <c r="M27" s="6" t="s">
        <v>47</v>
      </c>
      <c r="N27" s="13">
        <v>1</v>
      </c>
      <c r="O27" s="32">
        <f t="shared" si="8"/>
        <v>9.871668311944719</v>
      </c>
      <c r="Q27" s="5" t="s">
        <v>23</v>
      </c>
      <c r="R27" s="13">
        <v>21.18</v>
      </c>
      <c r="S27" s="32">
        <f t="shared" si="9"/>
        <v>21.180635419062572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</row>
    <row r="28" spans="1:254" s="15" customFormat="1" ht="14.25" customHeight="1">
      <c r="A28" s="6" t="s">
        <v>48</v>
      </c>
      <c r="B28" s="6">
        <v>188.41</v>
      </c>
      <c r="C28" s="32">
        <f t="shared" si="5"/>
        <v>188.41</v>
      </c>
      <c r="E28" s="64" t="s">
        <v>48</v>
      </c>
      <c r="F28" s="64">
        <v>14</v>
      </c>
      <c r="G28" s="64">
        <f t="shared" si="6"/>
        <v>164.7058823529412</v>
      </c>
      <c r="H28" s="14"/>
      <c r="I28" s="24" t="s">
        <v>48</v>
      </c>
      <c r="J28" s="25">
        <v>178.506375227687</v>
      </c>
      <c r="K28" s="32">
        <f t="shared" si="7"/>
        <v>178.506375227687</v>
      </c>
      <c r="M28" s="6" t="s">
        <v>49</v>
      </c>
      <c r="N28" s="13">
        <v>1.2</v>
      </c>
      <c r="O28" s="32">
        <f t="shared" si="8"/>
        <v>11.846001974333662</v>
      </c>
      <c r="Q28" s="5" t="s">
        <v>33</v>
      </c>
      <c r="R28" s="13">
        <v>45.08</v>
      </c>
      <c r="S28" s="32">
        <f t="shared" si="9"/>
        <v>45.08135244057321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</row>
    <row r="29" spans="1:254" s="15" customFormat="1" ht="14.25" customHeight="1">
      <c r="A29" s="6" t="s">
        <v>23</v>
      </c>
      <c r="B29" s="6">
        <v>201.62</v>
      </c>
      <c r="C29" s="32">
        <f t="shared" si="5"/>
        <v>201.62</v>
      </c>
      <c r="E29" s="64" t="s">
        <v>50</v>
      </c>
      <c r="F29" s="64">
        <v>4.5</v>
      </c>
      <c r="G29" s="64">
        <f t="shared" si="6"/>
        <v>52.94117647058823</v>
      </c>
      <c r="H29" s="14"/>
      <c r="I29" s="24" t="s">
        <v>23</v>
      </c>
      <c r="J29" s="25">
        <v>212.431693989071</v>
      </c>
      <c r="K29" s="32">
        <f t="shared" si="7"/>
        <v>212.431693989071</v>
      </c>
      <c r="M29" s="6" t="s">
        <v>28</v>
      </c>
      <c r="N29" s="13">
        <v>11</v>
      </c>
      <c r="O29" s="32">
        <f t="shared" si="8"/>
        <v>108.58835143139191</v>
      </c>
      <c r="Q29" s="5" t="s">
        <v>29</v>
      </c>
      <c r="R29" s="13">
        <v>9.68</v>
      </c>
      <c r="S29" s="32">
        <f t="shared" si="9"/>
        <v>9.680290408712262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</row>
    <row r="30" spans="1:254" s="15" customFormat="1" ht="14.25" customHeight="1">
      <c r="A30" s="6" t="s">
        <v>32</v>
      </c>
      <c r="B30" s="6">
        <v>6.7</v>
      </c>
      <c r="C30" s="32">
        <f t="shared" si="5"/>
        <v>6.7</v>
      </c>
      <c r="E30" s="64" t="s">
        <v>27</v>
      </c>
      <c r="F30" s="64">
        <v>4.2</v>
      </c>
      <c r="G30" s="64">
        <f t="shared" si="6"/>
        <v>49.411764705882355</v>
      </c>
      <c r="H30" s="14"/>
      <c r="I30" s="24" t="s">
        <v>32</v>
      </c>
      <c r="J30" s="25">
        <v>7.05828779599271</v>
      </c>
      <c r="K30" s="32">
        <f t="shared" si="7"/>
        <v>7.05828779599271</v>
      </c>
      <c r="M30" s="6" t="s">
        <v>32</v>
      </c>
      <c r="N30" s="13">
        <v>2.5</v>
      </c>
      <c r="O30" s="32">
        <f t="shared" si="8"/>
        <v>24.679170779861796</v>
      </c>
      <c r="Q30" s="5" t="s">
        <v>32</v>
      </c>
      <c r="R30" s="13">
        <v>3.02</v>
      </c>
      <c r="S30" s="32">
        <f t="shared" si="9"/>
        <v>3.020090602718082</v>
      </c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</row>
    <row r="31" spans="1:254" s="15" customFormat="1" ht="14.25" customHeight="1">
      <c r="A31" s="6" t="s">
        <v>29</v>
      </c>
      <c r="B31" s="6">
        <v>2.16</v>
      </c>
      <c r="C31" s="32">
        <f t="shared" si="5"/>
        <v>2.16</v>
      </c>
      <c r="E31" s="64" t="s">
        <v>23</v>
      </c>
      <c r="F31" s="64">
        <v>16.3</v>
      </c>
      <c r="G31" s="64">
        <f t="shared" si="6"/>
        <v>191.76470588235296</v>
      </c>
      <c r="H31" s="14"/>
      <c r="I31" s="24" t="s">
        <v>29</v>
      </c>
      <c r="J31" s="25">
        <v>2.27686703096539</v>
      </c>
      <c r="K31" s="32">
        <f t="shared" si="7"/>
        <v>2.27686703096539</v>
      </c>
      <c r="M31" s="6" t="s">
        <v>51</v>
      </c>
      <c r="N31" s="13">
        <v>0.2</v>
      </c>
      <c r="O31" s="32">
        <f t="shared" si="8"/>
        <v>1.974333662388944</v>
      </c>
      <c r="Q31" s="5" t="s">
        <v>52</v>
      </c>
      <c r="R31" s="13">
        <v>150.68</v>
      </c>
      <c r="S31" s="32">
        <f t="shared" si="9"/>
        <v>150.68452053561606</v>
      </c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</row>
    <row r="32" spans="1:254" s="15" customFormat="1" ht="14.25" customHeight="1">
      <c r="A32" s="6" t="s">
        <v>53</v>
      </c>
      <c r="B32" s="6">
        <v>3.42</v>
      </c>
      <c r="C32" s="32">
        <f t="shared" si="5"/>
        <v>3.42</v>
      </c>
      <c r="E32" s="64" t="s">
        <v>51</v>
      </c>
      <c r="F32" s="64">
        <v>0.2</v>
      </c>
      <c r="G32" s="64">
        <f t="shared" si="6"/>
        <v>2.3529411764705883</v>
      </c>
      <c r="H32" s="14"/>
      <c r="I32" s="26" t="s">
        <v>30</v>
      </c>
      <c r="K32" s="30">
        <v>1000</v>
      </c>
      <c r="M32" s="6" t="s">
        <v>54</v>
      </c>
      <c r="N32" s="13">
        <v>4.1</v>
      </c>
      <c r="O32" s="32">
        <f t="shared" si="8"/>
        <v>40.473840078973346</v>
      </c>
      <c r="Q32" s="5" t="s">
        <v>28</v>
      </c>
      <c r="R32" s="13">
        <v>9.68</v>
      </c>
      <c r="S32" s="32">
        <f t="shared" si="9"/>
        <v>9.680290408712262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</row>
    <row r="33" spans="1:254" s="15" customFormat="1" ht="14.25" customHeight="1">
      <c r="A33" s="8" t="s">
        <v>30</v>
      </c>
      <c r="C33" s="30">
        <v>1000</v>
      </c>
      <c r="E33" s="64" t="s">
        <v>28</v>
      </c>
      <c r="F33" s="64">
        <v>2</v>
      </c>
      <c r="G33" s="64">
        <f t="shared" si="6"/>
        <v>23.52941176470588</v>
      </c>
      <c r="H33" s="14"/>
      <c r="I33" s="8"/>
      <c r="K33" s="29"/>
      <c r="M33" s="8" t="s">
        <v>30</v>
      </c>
      <c r="O33" s="30">
        <v>1000</v>
      </c>
      <c r="Q33" s="8" t="s">
        <v>30</v>
      </c>
      <c r="S33" s="30">
        <v>1000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</row>
    <row r="34" spans="1:254" s="15" customFormat="1" ht="14.25" customHeight="1">
      <c r="A34" s="11"/>
      <c r="B34" s="12"/>
      <c r="C34" s="9"/>
      <c r="E34" s="67" t="s">
        <v>30</v>
      </c>
      <c r="F34" s="67"/>
      <c r="G34" s="91">
        <v>1000</v>
      </c>
      <c r="H34" s="14"/>
      <c r="I34" s="8"/>
      <c r="K34" s="30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15" customFormat="1" ht="14.25" customHeight="1">
      <c r="A35" s="11"/>
      <c r="B35" s="12"/>
      <c r="C35" s="9"/>
      <c r="E35" s="11"/>
      <c r="F35" s="12"/>
      <c r="G35" s="9"/>
      <c r="H35" s="14"/>
      <c r="I35" s="8"/>
      <c r="K35" s="31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15" customFormat="1" ht="14.25" customHeight="1">
      <c r="A36" s="57" t="s">
        <v>2</v>
      </c>
      <c r="B36" s="68"/>
      <c r="C36" s="71"/>
      <c r="E36" s="11" t="s">
        <v>2</v>
      </c>
      <c r="F36" s="12"/>
      <c r="G36" s="9" t="s">
        <v>34</v>
      </c>
      <c r="H36" s="17"/>
      <c r="I36" s="57" t="s">
        <v>2</v>
      </c>
      <c r="J36" s="68"/>
      <c r="K36" s="71"/>
      <c r="L36" s="13"/>
      <c r="M36" s="57" t="s">
        <v>2</v>
      </c>
      <c r="N36" s="68"/>
      <c r="O36" s="71"/>
      <c r="P36" s="13"/>
      <c r="Q36" s="33" t="s">
        <v>2</v>
      </c>
      <c r="R36" s="12"/>
      <c r="S36" s="34" t="s">
        <v>34</v>
      </c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15" customFormat="1" ht="14.25" customHeight="1">
      <c r="A37" s="57" t="s">
        <v>5</v>
      </c>
      <c r="B37" s="68"/>
      <c r="C37" s="70" t="s">
        <v>36</v>
      </c>
      <c r="E37" s="11" t="s">
        <v>5</v>
      </c>
      <c r="F37" s="12"/>
      <c r="G37" s="16" t="s">
        <v>55</v>
      </c>
      <c r="H37" s="17"/>
      <c r="I37" s="57" t="s">
        <v>5</v>
      </c>
      <c r="J37" s="68"/>
      <c r="K37" s="70" t="s">
        <v>55</v>
      </c>
      <c r="L37" s="13"/>
      <c r="M37" s="57" t="s">
        <v>5</v>
      </c>
      <c r="N37" s="68"/>
      <c r="O37" s="69" t="s">
        <v>56</v>
      </c>
      <c r="P37" s="13"/>
      <c r="Q37" s="33" t="s">
        <v>5</v>
      </c>
      <c r="R37" s="12"/>
      <c r="S37" s="37" t="s">
        <v>56</v>
      </c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15" customFormat="1" ht="14.25" customHeight="1">
      <c r="A38" s="57" t="s">
        <v>8</v>
      </c>
      <c r="B38" s="68"/>
      <c r="C38" s="69" t="s">
        <v>57</v>
      </c>
      <c r="E38" s="11" t="s">
        <v>8</v>
      </c>
      <c r="F38" s="12"/>
      <c r="G38" s="16" t="s">
        <v>58</v>
      </c>
      <c r="H38" s="17"/>
      <c r="I38" s="57" t="s">
        <v>8</v>
      </c>
      <c r="J38" s="68"/>
      <c r="K38" s="69" t="s">
        <v>58</v>
      </c>
      <c r="L38" s="13"/>
      <c r="M38" s="57" t="s">
        <v>8</v>
      </c>
      <c r="N38" s="68"/>
      <c r="O38" s="69" t="s">
        <v>59</v>
      </c>
      <c r="P38" s="13"/>
      <c r="Q38" s="33" t="s">
        <v>8</v>
      </c>
      <c r="R38" s="12"/>
      <c r="S38" s="37" t="s">
        <v>60</v>
      </c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15" customFormat="1" ht="14.25" customHeight="1">
      <c r="A39" s="57" t="s">
        <v>14</v>
      </c>
      <c r="B39" s="68"/>
      <c r="C39" s="67" t="s">
        <v>61</v>
      </c>
      <c r="E39" s="11" t="s">
        <v>14</v>
      </c>
      <c r="F39" s="12"/>
      <c r="G39" s="9" t="s">
        <v>17</v>
      </c>
      <c r="H39" s="17"/>
      <c r="I39" s="57" t="s">
        <v>14</v>
      </c>
      <c r="J39" s="68"/>
      <c r="K39" s="67" t="s">
        <v>42</v>
      </c>
      <c r="L39" s="13"/>
      <c r="M39" s="57" t="s">
        <v>14</v>
      </c>
      <c r="N39" s="68"/>
      <c r="O39" s="67" t="s">
        <v>17</v>
      </c>
      <c r="P39" s="13"/>
      <c r="Q39" s="33" t="s">
        <v>14</v>
      </c>
      <c r="R39" s="12"/>
      <c r="S39" s="38" t="s">
        <v>15</v>
      </c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s="5" customFormat="1" ht="14.25" customHeight="1">
      <c r="A40" s="61" t="s">
        <v>20</v>
      </c>
      <c r="B40" s="61">
        <v>26</v>
      </c>
      <c r="C40" s="61">
        <f aca="true" t="shared" si="10" ref="C40:C46">B40/73.4*$C$47</f>
        <v>354.22343324250676</v>
      </c>
      <c r="E40" s="6" t="s">
        <v>49</v>
      </c>
      <c r="F40" s="6">
        <v>46.2</v>
      </c>
      <c r="G40" s="32">
        <f>F40/90.4*$G$44</f>
        <v>511.0619469026548</v>
      </c>
      <c r="H40" s="17"/>
      <c r="I40" s="61" t="s">
        <v>31</v>
      </c>
      <c r="J40" s="61">
        <v>28.65</v>
      </c>
      <c r="K40" s="61">
        <f aca="true" t="shared" si="11" ref="K40:K48">J40/86.84*$K$49</f>
        <v>329.9170888991248</v>
      </c>
      <c r="L40" s="6"/>
      <c r="M40" s="61" t="s">
        <v>20</v>
      </c>
      <c r="N40" s="61">
        <v>16.5</v>
      </c>
      <c r="O40" s="61">
        <f aca="true" t="shared" si="12" ref="O40:O46">N40/77.2*$O$47</f>
        <v>213.7305699481865</v>
      </c>
      <c r="P40" s="6"/>
      <c r="Q40" s="5" t="s">
        <v>20</v>
      </c>
      <c r="R40" s="6">
        <v>117.1</v>
      </c>
      <c r="S40" s="32">
        <f aca="true" t="shared" si="13" ref="S40:S48">R40/1000*$S$49</f>
        <v>117.1</v>
      </c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  <row r="41" spans="1:254" s="5" customFormat="1" ht="14.25" customHeight="1">
      <c r="A41" s="61" t="s">
        <v>22</v>
      </c>
      <c r="B41" s="61">
        <v>16.3</v>
      </c>
      <c r="C41" s="61">
        <f t="shared" si="10"/>
        <v>222.0708446866485</v>
      </c>
      <c r="E41" s="6" t="s">
        <v>62</v>
      </c>
      <c r="F41" s="6">
        <v>12.4</v>
      </c>
      <c r="G41" s="32">
        <f>F41/90.4*$G$44</f>
        <v>137.16814159292034</v>
      </c>
      <c r="H41" s="17"/>
      <c r="I41" s="61" t="s">
        <v>63</v>
      </c>
      <c r="J41" s="61">
        <v>18.14</v>
      </c>
      <c r="K41" s="61">
        <f t="shared" si="11"/>
        <v>208.88991248272683</v>
      </c>
      <c r="L41" s="6"/>
      <c r="M41" s="61" t="s">
        <v>23</v>
      </c>
      <c r="N41" s="61">
        <v>50.5</v>
      </c>
      <c r="O41" s="61">
        <f t="shared" si="12"/>
        <v>654.1450777202073</v>
      </c>
      <c r="P41" s="6"/>
      <c r="Q41" s="5" t="s">
        <v>64</v>
      </c>
      <c r="R41" s="6">
        <v>24.1</v>
      </c>
      <c r="S41" s="32">
        <f t="shared" si="13"/>
        <v>24.1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</row>
    <row r="42" spans="1:254" s="5" customFormat="1" ht="14.25" customHeight="1">
      <c r="A42" s="61" t="s">
        <v>52</v>
      </c>
      <c r="B42" s="61">
        <v>20</v>
      </c>
      <c r="C42" s="61">
        <f t="shared" si="10"/>
        <v>272.4795640326975</v>
      </c>
      <c r="E42" s="6" t="s">
        <v>63</v>
      </c>
      <c r="F42" s="6">
        <v>10.8</v>
      </c>
      <c r="G42" s="32">
        <f>F42/90.4*$G$44</f>
        <v>119.46902654867257</v>
      </c>
      <c r="H42" s="17"/>
      <c r="I42" s="61" t="s">
        <v>62</v>
      </c>
      <c r="J42" s="61">
        <v>19.94</v>
      </c>
      <c r="K42" s="61">
        <f t="shared" si="11"/>
        <v>229.61768770152005</v>
      </c>
      <c r="L42" s="6"/>
      <c r="M42" s="61" t="s">
        <v>27</v>
      </c>
      <c r="N42" s="61">
        <v>6</v>
      </c>
      <c r="O42" s="61">
        <f t="shared" si="12"/>
        <v>77.720207253886</v>
      </c>
      <c r="P42" s="6"/>
      <c r="Q42" s="5" t="s">
        <v>23</v>
      </c>
      <c r="R42" s="6">
        <v>555.1</v>
      </c>
      <c r="S42" s="32">
        <f t="shared" si="13"/>
        <v>555.1</v>
      </c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</row>
    <row r="43" spans="1:254" s="5" customFormat="1" ht="14.25" customHeight="1">
      <c r="A43" s="61" t="s">
        <v>65</v>
      </c>
      <c r="B43" s="61">
        <v>4</v>
      </c>
      <c r="C43" s="61">
        <f t="shared" si="10"/>
        <v>54.4959128065395</v>
      </c>
      <c r="E43" s="6" t="s">
        <v>66</v>
      </c>
      <c r="F43" s="6">
        <v>21</v>
      </c>
      <c r="G43" s="32">
        <f>F43/90.4*$G$44</f>
        <v>232.3008849557522</v>
      </c>
      <c r="H43" s="17"/>
      <c r="I43" s="61" t="s">
        <v>52</v>
      </c>
      <c r="J43" s="61">
        <v>2.33</v>
      </c>
      <c r="K43" s="61">
        <f t="shared" si="11"/>
        <v>26.830953477660067</v>
      </c>
      <c r="L43" s="6"/>
      <c r="M43" s="61" t="s">
        <v>47</v>
      </c>
      <c r="N43" s="61">
        <v>2.2</v>
      </c>
      <c r="O43" s="61">
        <f t="shared" si="12"/>
        <v>28.497409326424872</v>
      </c>
      <c r="P43" s="6"/>
      <c r="Q43" s="5" t="s">
        <v>47</v>
      </c>
      <c r="R43" s="6">
        <v>156.3</v>
      </c>
      <c r="S43" s="32">
        <f t="shared" si="13"/>
        <v>156.3</v>
      </c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</row>
    <row r="44" spans="1:254" s="5" customFormat="1" ht="14.25" customHeight="1">
      <c r="A44" s="61" t="s">
        <v>33</v>
      </c>
      <c r="B44" s="61">
        <v>2</v>
      </c>
      <c r="C44" s="61">
        <f t="shared" si="10"/>
        <v>27.24795640326975</v>
      </c>
      <c r="E44" s="8" t="s">
        <v>30</v>
      </c>
      <c r="F44" s="17"/>
      <c r="G44" s="30">
        <v>1000</v>
      </c>
      <c r="H44" s="17"/>
      <c r="I44" s="61" t="s">
        <v>67</v>
      </c>
      <c r="J44" s="61">
        <v>2</v>
      </c>
      <c r="K44" s="61">
        <f t="shared" si="11"/>
        <v>23.030861354214647</v>
      </c>
      <c r="L44" s="6"/>
      <c r="M44" s="61" t="s">
        <v>68</v>
      </c>
      <c r="N44" s="61">
        <v>0.5</v>
      </c>
      <c r="O44" s="61">
        <f t="shared" si="12"/>
        <v>6.476683937823834</v>
      </c>
      <c r="P44" s="6"/>
      <c r="Q44" s="5" t="s">
        <v>44</v>
      </c>
      <c r="R44" s="6">
        <v>79.2</v>
      </c>
      <c r="S44" s="32">
        <f t="shared" si="13"/>
        <v>79.2</v>
      </c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</row>
    <row r="45" spans="1:254" s="5" customFormat="1" ht="14.25" customHeight="1">
      <c r="A45" s="61" t="s">
        <v>23</v>
      </c>
      <c r="B45" s="61">
        <v>1.1</v>
      </c>
      <c r="C45" s="61">
        <f t="shared" si="10"/>
        <v>14.986376021798364</v>
      </c>
      <c r="E45" s="41"/>
      <c r="F45" s="17"/>
      <c r="G45" s="6"/>
      <c r="H45" s="17"/>
      <c r="I45" s="61" t="s">
        <v>48</v>
      </c>
      <c r="J45" s="61">
        <v>3</v>
      </c>
      <c r="K45" s="61">
        <f t="shared" si="11"/>
        <v>34.546292031321975</v>
      </c>
      <c r="L45" s="6"/>
      <c r="M45" s="61" t="s">
        <v>51</v>
      </c>
      <c r="N45" s="61">
        <v>0.5</v>
      </c>
      <c r="O45" s="61">
        <f t="shared" si="12"/>
        <v>6.476683937823834</v>
      </c>
      <c r="P45" s="6"/>
      <c r="Q45" s="5" t="s">
        <v>68</v>
      </c>
      <c r="R45" s="6">
        <v>30.1</v>
      </c>
      <c r="S45" s="32">
        <f t="shared" si="13"/>
        <v>30.1</v>
      </c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</row>
    <row r="46" spans="1:254" s="5" customFormat="1" ht="14.25" customHeight="1">
      <c r="A46" s="61" t="s">
        <v>28</v>
      </c>
      <c r="B46" s="61">
        <v>4</v>
      </c>
      <c r="C46" s="61">
        <f t="shared" si="10"/>
        <v>54.4959128065395</v>
      </c>
      <c r="E46" s="41"/>
      <c r="F46" s="17"/>
      <c r="G46" s="6"/>
      <c r="H46" s="17"/>
      <c r="I46" s="61" t="s">
        <v>53</v>
      </c>
      <c r="J46" s="61">
        <v>10</v>
      </c>
      <c r="K46" s="61">
        <f t="shared" si="11"/>
        <v>115.15430677107324</v>
      </c>
      <c r="L46" s="6"/>
      <c r="M46" s="61" t="s">
        <v>28</v>
      </c>
      <c r="N46" s="61">
        <v>1</v>
      </c>
      <c r="O46" s="61">
        <f t="shared" si="12"/>
        <v>12.953367875647668</v>
      </c>
      <c r="P46" s="6"/>
      <c r="Q46" s="5" t="s">
        <v>69</v>
      </c>
      <c r="R46" s="6">
        <v>19</v>
      </c>
      <c r="S46" s="32">
        <f t="shared" si="13"/>
        <v>19</v>
      </c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</row>
    <row r="47" spans="1:254" s="5" customFormat="1" ht="14.25" customHeight="1">
      <c r="A47" s="67" t="s">
        <v>30</v>
      </c>
      <c r="B47" s="67"/>
      <c r="C47" s="91">
        <v>1000</v>
      </c>
      <c r="E47" s="41"/>
      <c r="F47" s="17"/>
      <c r="G47" s="6"/>
      <c r="H47" s="17"/>
      <c r="I47" s="61" t="s">
        <v>68</v>
      </c>
      <c r="J47" s="61">
        <v>2.38</v>
      </c>
      <c r="K47" s="61">
        <f t="shared" si="11"/>
        <v>27.406725011515427</v>
      </c>
      <c r="L47" s="6"/>
      <c r="M47" s="67" t="s">
        <v>30</v>
      </c>
      <c r="N47" s="67"/>
      <c r="O47" s="91">
        <v>1000</v>
      </c>
      <c r="P47" s="6"/>
      <c r="Q47" s="5" t="s">
        <v>32</v>
      </c>
      <c r="R47" s="6">
        <v>13</v>
      </c>
      <c r="S47" s="32">
        <f t="shared" si="13"/>
        <v>13</v>
      </c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</row>
    <row r="48" spans="1:254" s="5" customFormat="1" ht="14.25" customHeight="1">
      <c r="A48" s="40"/>
      <c r="B48" s="17"/>
      <c r="C48" s="6"/>
      <c r="H48" s="17"/>
      <c r="I48" s="61" t="s">
        <v>51</v>
      </c>
      <c r="J48" s="61">
        <v>0.4</v>
      </c>
      <c r="K48" s="61">
        <f t="shared" si="11"/>
        <v>4.606172270842929</v>
      </c>
      <c r="L48" s="16"/>
      <c r="M48" s="40"/>
      <c r="N48" s="47"/>
      <c r="P48" s="6"/>
      <c r="Q48" s="5" t="s">
        <v>51</v>
      </c>
      <c r="R48" s="6">
        <v>6.1</v>
      </c>
      <c r="S48" s="32">
        <f t="shared" si="13"/>
        <v>6.1</v>
      </c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</row>
    <row r="49" spans="1:254" s="5" customFormat="1" ht="12.75" customHeight="1">
      <c r="A49" s="8"/>
      <c r="C49" s="30"/>
      <c r="D49" s="16"/>
      <c r="E49" s="8"/>
      <c r="H49" s="6"/>
      <c r="I49" s="67" t="s">
        <v>30</v>
      </c>
      <c r="J49" s="67"/>
      <c r="K49" s="91">
        <v>1000</v>
      </c>
      <c r="L49" s="16"/>
      <c r="M49" s="8"/>
      <c r="O49" s="30"/>
      <c r="Q49" s="8" t="s">
        <v>30</v>
      </c>
      <c r="S49" s="30">
        <v>1000</v>
      </c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</row>
    <row r="50" spans="1:254" s="5" customFormat="1" ht="10.5" customHeight="1">
      <c r="A50" s="8"/>
      <c r="C50" s="30"/>
      <c r="D50" s="16"/>
      <c r="E50" s="8"/>
      <c r="H50" s="6"/>
      <c r="I50" s="61"/>
      <c r="J50" s="61"/>
      <c r="K50" s="61"/>
      <c r="L50" s="16"/>
      <c r="M50" s="8"/>
      <c r="O50" s="30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</row>
    <row r="51" spans="1:254" s="15" customFormat="1" ht="30" customHeight="1">
      <c r="A51" s="33" t="s">
        <v>2</v>
      </c>
      <c r="B51" s="12"/>
      <c r="C51" s="55" t="s">
        <v>70</v>
      </c>
      <c r="E51" s="57" t="s">
        <v>2</v>
      </c>
      <c r="F51" s="68"/>
      <c r="G51" s="71"/>
      <c r="I51" s="57" t="s">
        <v>2</v>
      </c>
      <c r="J51" s="68"/>
      <c r="K51" s="118" t="s">
        <v>71</v>
      </c>
      <c r="L51" s="36"/>
      <c r="M51" s="33" t="s">
        <v>2</v>
      </c>
      <c r="N51" s="12"/>
      <c r="O51" s="34" t="s">
        <v>72</v>
      </c>
      <c r="P51" s="11"/>
      <c r="Q51" s="33" t="s">
        <v>2</v>
      </c>
      <c r="R51" s="12"/>
      <c r="S51" s="34" t="s">
        <v>73</v>
      </c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</row>
    <row r="52" spans="1:254" s="15" customFormat="1" ht="12.75" customHeight="1">
      <c r="A52" s="33" t="s">
        <v>5</v>
      </c>
      <c r="B52" s="12"/>
      <c r="C52" s="70" t="s">
        <v>74</v>
      </c>
      <c r="E52" s="57" t="s">
        <v>5</v>
      </c>
      <c r="F52" s="68"/>
      <c r="G52" s="70" t="s">
        <v>74</v>
      </c>
      <c r="I52" s="57" t="s">
        <v>5</v>
      </c>
      <c r="J52" s="68"/>
      <c r="K52" s="70" t="s">
        <v>75</v>
      </c>
      <c r="M52" s="33" t="s">
        <v>5</v>
      </c>
      <c r="N52" s="12"/>
      <c r="O52" s="70" t="s">
        <v>75</v>
      </c>
      <c r="P52" s="11"/>
      <c r="Q52" s="33" t="s">
        <v>5</v>
      </c>
      <c r="R52" s="12"/>
      <c r="S52" s="37" t="s">
        <v>76</v>
      </c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</row>
    <row r="53" spans="1:254" s="15" customFormat="1" ht="14.25" customHeight="1">
      <c r="A53" s="33" t="s">
        <v>8</v>
      </c>
      <c r="B53" s="12"/>
      <c r="C53" s="37" t="s">
        <v>77</v>
      </c>
      <c r="E53" s="57" t="s">
        <v>8</v>
      </c>
      <c r="F53" s="68"/>
      <c r="G53" s="69" t="s">
        <v>78</v>
      </c>
      <c r="I53" s="57" t="s">
        <v>8</v>
      </c>
      <c r="J53" s="68"/>
      <c r="K53" s="117" t="s">
        <v>79</v>
      </c>
      <c r="M53" s="33" t="s">
        <v>8</v>
      </c>
      <c r="N53" s="12"/>
      <c r="O53" s="37" t="s">
        <v>80</v>
      </c>
      <c r="P53" s="11"/>
      <c r="Q53" s="33" t="s">
        <v>8</v>
      </c>
      <c r="R53" s="12"/>
      <c r="S53" s="37" t="s">
        <v>81</v>
      </c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</row>
    <row r="54" spans="1:254" s="15" customFormat="1" ht="14.25" customHeight="1">
      <c r="A54" s="33" t="s">
        <v>14</v>
      </c>
      <c r="B54" s="12"/>
      <c r="C54" s="38" t="s">
        <v>17</v>
      </c>
      <c r="E54" s="57" t="s">
        <v>14</v>
      </c>
      <c r="F54" s="68"/>
      <c r="G54" s="67" t="s">
        <v>42</v>
      </c>
      <c r="I54" s="57" t="s">
        <v>14</v>
      </c>
      <c r="J54" s="68"/>
      <c r="K54" s="67" t="s">
        <v>17</v>
      </c>
      <c r="M54" s="33" t="s">
        <v>14</v>
      </c>
      <c r="N54" s="12"/>
      <c r="O54" s="38" t="s">
        <v>18</v>
      </c>
      <c r="P54" s="11"/>
      <c r="Q54" s="33" t="s">
        <v>14</v>
      </c>
      <c r="R54" s="12"/>
      <c r="S54" s="3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</row>
    <row r="55" spans="1:254" s="5" customFormat="1" ht="14.25" customHeight="1">
      <c r="A55" s="39" t="s">
        <v>23</v>
      </c>
      <c r="B55" s="39">
        <v>803.5</v>
      </c>
      <c r="C55" s="32">
        <f aca="true" t="shared" si="14" ref="C55:C60">B55/1000*$C$61</f>
        <v>803.5</v>
      </c>
      <c r="E55" s="61" t="s">
        <v>23</v>
      </c>
      <c r="F55" s="61">
        <v>68</v>
      </c>
      <c r="G55" s="61">
        <f aca="true" t="shared" si="15" ref="G55:G60">F55/90.11*$G$61</f>
        <v>754.6332260570414</v>
      </c>
      <c r="I55" s="61" t="s">
        <v>82</v>
      </c>
      <c r="J55" s="61">
        <v>264.7</v>
      </c>
      <c r="K55" s="61">
        <f>J55/265.6*$K$58</f>
        <v>996.6114457831325</v>
      </c>
      <c r="M55" s="6" t="s">
        <v>82</v>
      </c>
      <c r="N55" s="6">
        <v>224</v>
      </c>
      <c r="O55" s="32">
        <f>N55/225.8*$O$57</f>
        <v>992.0283436669619</v>
      </c>
      <c r="P55" s="106"/>
      <c r="Q55" s="24" t="s">
        <v>20</v>
      </c>
      <c r="R55" s="24">
        <v>320</v>
      </c>
      <c r="S55" s="32">
        <f>R55/343*$S$60</f>
        <v>932.9446064139942</v>
      </c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</row>
    <row r="56" spans="1:254" s="5" customFormat="1" ht="14.25" customHeight="1">
      <c r="A56" s="39" t="s">
        <v>50</v>
      </c>
      <c r="B56" s="39">
        <v>100</v>
      </c>
      <c r="C56" s="32">
        <f t="shared" si="14"/>
        <v>100</v>
      </c>
      <c r="E56" s="61" t="s">
        <v>50</v>
      </c>
      <c r="F56" s="61">
        <v>10</v>
      </c>
      <c r="G56" s="61">
        <f t="shared" si="15"/>
        <v>110.97547442015315</v>
      </c>
      <c r="I56" s="61" t="s">
        <v>83</v>
      </c>
      <c r="J56" s="61">
        <v>0.7</v>
      </c>
      <c r="K56" s="61">
        <f>J56/265.6*$K$58</f>
        <v>2.6355421686746987</v>
      </c>
      <c r="M56" s="6" t="s">
        <v>84</v>
      </c>
      <c r="N56" s="6">
        <v>1.8</v>
      </c>
      <c r="O56" s="32">
        <f>N56/225.8*$O$57</f>
        <v>7.971656333038087</v>
      </c>
      <c r="P56" s="106"/>
      <c r="Q56" s="24" t="s">
        <v>32</v>
      </c>
      <c r="R56" s="24">
        <v>4</v>
      </c>
      <c r="S56" s="32">
        <f>R56/343*$S$60</f>
        <v>11.661807580174926</v>
      </c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</row>
    <row r="57" spans="1:254" s="5" customFormat="1" ht="14.25" customHeight="1">
      <c r="A57" s="39" t="s">
        <v>44</v>
      </c>
      <c r="B57" s="39">
        <v>57.6</v>
      </c>
      <c r="C57" s="32">
        <f t="shared" si="14"/>
        <v>57.6</v>
      </c>
      <c r="E57" s="61" t="s">
        <v>44</v>
      </c>
      <c r="F57" s="61">
        <v>6.1</v>
      </c>
      <c r="G57" s="61">
        <f t="shared" si="15"/>
        <v>67.69503939629341</v>
      </c>
      <c r="I57" s="61" t="s">
        <v>85</v>
      </c>
      <c r="J57" s="61">
        <v>0.2</v>
      </c>
      <c r="K57" s="61">
        <f>J57/265.6*$K$58</f>
        <v>0.753012048192771</v>
      </c>
      <c r="M57" s="8" t="s">
        <v>30</v>
      </c>
      <c r="O57" s="30">
        <v>1000</v>
      </c>
      <c r="P57" s="24"/>
      <c r="Q57" s="24" t="s">
        <v>86</v>
      </c>
      <c r="R57" s="24">
        <v>7</v>
      </c>
      <c r="S57" s="32">
        <f>R57/343*$S$60</f>
        <v>20.408163265306122</v>
      </c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</row>
    <row r="58" spans="1:254" s="5" customFormat="1" ht="14.25" customHeight="1">
      <c r="A58" s="39" t="s">
        <v>29</v>
      </c>
      <c r="B58" s="39">
        <v>5.8</v>
      </c>
      <c r="C58" s="32">
        <f t="shared" si="14"/>
        <v>5.8</v>
      </c>
      <c r="E58" s="61" t="s">
        <v>68</v>
      </c>
      <c r="F58" s="61">
        <v>0.4</v>
      </c>
      <c r="G58" s="61">
        <f t="shared" si="15"/>
        <v>4.439018976806126</v>
      </c>
      <c r="I58" s="61" t="s">
        <v>30</v>
      </c>
      <c r="J58" s="61">
        <f>SUM(J55:J57)</f>
        <v>265.59999999999997</v>
      </c>
      <c r="K58" s="91">
        <v>1000</v>
      </c>
      <c r="M58" s="40"/>
      <c r="N58" s="47"/>
      <c r="P58" s="24"/>
      <c r="Q58" s="24" t="s">
        <v>87</v>
      </c>
      <c r="R58" s="24">
        <v>10</v>
      </c>
      <c r="S58" s="32">
        <f>R58/343*$S$60</f>
        <v>29.154518950437318</v>
      </c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</row>
    <row r="59" spans="1:254" s="5" customFormat="1" ht="14.25" customHeight="1">
      <c r="A59" s="39" t="s">
        <v>68</v>
      </c>
      <c r="B59" s="39">
        <v>4.3</v>
      </c>
      <c r="C59" s="32">
        <f t="shared" si="14"/>
        <v>4.3</v>
      </c>
      <c r="E59" s="61" t="s">
        <v>51</v>
      </c>
      <c r="F59" s="61">
        <v>0.61</v>
      </c>
      <c r="G59" s="61">
        <f t="shared" si="15"/>
        <v>6.769503939629342</v>
      </c>
      <c r="M59" s="40"/>
      <c r="N59" s="47"/>
      <c r="P59" s="24"/>
      <c r="Q59" s="24" t="s">
        <v>68</v>
      </c>
      <c r="R59" s="6">
        <v>2</v>
      </c>
      <c r="S59" s="32">
        <f>R59/343*$S$60</f>
        <v>5.830903790087463</v>
      </c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</row>
    <row r="60" spans="1:254" s="5" customFormat="1" ht="14.25" customHeight="1">
      <c r="A60" s="39" t="s">
        <v>28</v>
      </c>
      <c r="B60" s="39">
        <v>28.8</v>
      </c>
      <c r="C60" s="32">
        <f t="shared" si="14"/>
        <v>28.8</v>
      </c>
      <c r="E60" s="61" t="s">
        <v>28</v>
      </c>
      <c r="F60" s="61">
        <v>5</v>
      </c>
      <c r="G60" s="61">
        <f t="shared" si="15"/>
        <v>55.487737210076574</v>
      </c>
      <c r="M60" s="40"/>
      <c r="N60" s="47"/>
      <c r="P60" s="24"/>
      <c r="Q60" s="8" t="s">
        <v>30</v>
      </c>
      <c r="S60" s="30">
        <v>1000</v>
      </c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</row>
    <row r="61" spans="1:254" s="5" customFormat="1" ht="14.25" customHeight="1">
      <c r="A61" s="27" t="s">
        <v>30</v>
      </c>
      <c r="C61" s="30">
        <v>1000</v>
      </c>
      <c r="D61" s="16"/>
      <c r="E61" s="67" t="s">
        <v>30</v>
      </c>
      <c r="F61" s="67"/>
      <c r="G61" s="91">
        <v>1000</v>
      </c>
      <c r="H61" s="16"/>
      <c r="I61" s="51"/>
      <c r="J61" s="105"/>
      <c r="K61" s="9"/>
      <c r="M61" s="26"/>
      <c r="N61" s="26"/>
      <c r="O61" s="26"/>
      <c r="P61" s="24"/>
      <c r="Q61" s="40"/>
      <c r="R61" s="47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</row>
    <row r="62" spans="1:254" s="5" customFormat="1" ht="14.25" customHeight="1">
      <c r="A62" s="51"/>
      <c r="B62" s="105"/>
      <c r="C62" s="9"/>
      <c r="E62" s="41"/>
      <c r="F62" s="17"/>
      <c r="G62" s="6"/>
      <c r="I62" s="51"/>
      <c r="J62" s="105"/>
      <c r="K62" s="9"/>
      <c r="N62" s="6"/>
      <c r="O62" s="6"/>
      <c r="P62" s="6"/>
      <c r="Q62" s="40"/>
      <c r="R62" s="47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</row>
    <row r="63" spans="1:19" s="3" customFormat="1" ht="36.75" customHeight="1">
      <c r="A63" s="119" t="s">
        <v>88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</row>
    <row r="64" spans="1:19" s="3" customFormat="1" ht="15.75" customHeight="1">
      <c r="A64" s="121" t="s">
        <v>0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</row>
    <row r="65" spans="1:19" s="4" customFormat="1" ht="15" customHeight="1">
      <c r="A65" s="122" t="s">
        <v>1</v>
      </c>
      <c r="B65" s="12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1:19" s="4" customFormat="1" ht="15" customHeight="1">
      <c r="A66" s="88"/>
      <c r="B66" s="8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1:254" s="4" customFormat="1" ht="15" customHeight="1">
      <c r="A67" s="57" t="s">
        <v>2</v>
      </c>
      <c r="B67" s="68"/>
      <c r="C67" s="71" t="s">
        <v>89</v>
      </c>
      <c r="D67" s="87"/>
      <c r="E67" s="57" t="s">
        <v>2</v>
      </c>
      <c r="F67" s="68"/>
      <c r="G67" s="71"/>
      <c r="H67" s="87"/>
      <c r="I67" s="33" t="s">
        <v>2</v>
      </c>
      <c r="J67" s="12"/>
      <c r="K67" s="34" t="s">
        <v>73</v>
      </c>
      <c r="L67" s="87"/>
      <c r="M67" s="100" t="s">
        <v>2</v>
      </c>
      <c r="N67" s="99"/>
      <c r="O67" s="30" t="s">
        <v>90</v>
      </c>
      <c r="P67" s="87"/>
      <c r="Q67" s="57" t="s">
        <v>2</v>
      </c>
      <c r="R67" s="68"/>
      <c r="S67" s="71"/>
      <c r="T67" s="48"/>
      <c r="U67" s="48"/>
      <c r="V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</row>
    <row r="68" spans="1:254" s="4" customFormat="1" ht="15" customHeight="1">
      <c r="A68" s="57" t="s">
        <v>5</v>
      </c>
      <c r="B68" s="68"/>
      <c r="C68" s="69" t="s">
        <v>91</v>
      </c>
      <c r="D68" s="87"/>
      <c r="E68" s="57" t="s">
        <v>5</v>
      </c>
      <c r="F68" s="68"/>
      <c r="G68" s="70" t="s">
        <v>92</v>
      </c>
      <c r="H68" s="87"/>
      <c r="I68" s="33" t="s">
        <v>5</v>
      </c>
      <c r="J68" s="12"/>
      <c r="K68" s="37" t="s">
        <v>92</v>
      </c>
      <c r="L68" s="87"/>
      <c r="M68" s="100" t="s">
        <v>5</v>
      </c>
      <c r="N68" s="99"/>
      <c r="O68" s="96" t="s">
        <v>93</v>
      </c>
      <c r="P68" s="87"/>
      <c r="Q68" s="57" t="s">
        <v>5</v>
      </c>
      <c r="R68" s="68"/>
      <c r="S68" s="70" t="s">
        <v>93</v>
      </c>
      <c r="T68" s="48"/>
      <c r="U68" s="48"/>
      <c r="V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</row>
    <row r="69" spans="1:254" s="4" customFormat="1" ht="15" customHeight="1">
      <c r="A69" s="57" t="s">
        <v>8</v>
      </c>
      <c r="B69" s="68"/>
      <c r="C69" s="69" t="s">
        <v>81</v>
      </c>
      <c r="D69" s="87"/>
      <c r="E69" s="57" t="s">
        <v>8</v>
      </c>
      <c r="F69" s="68"/>
      <c r="G69" s="69" t="s">
        <v>94</v>
      </c>
      <c r="H69" s="87"/>
      <c r="I69" s="33" t="s">
        <v>8</v>
      </c>
      <c r="J69" s="12"/>
      <c r="K69" s="37" t="s">
        <v>95</v>
      </c>
      <c r="L69" s="87"/>
      <c r="M69" s="100" t="s">
        <v>8</v>
      </c>
      <c r="N69" s="99"/>
      <c r="O69" s="95" t="s">
        <v>96</v>
      </c>
      <c r="P69" s="87"/>
      <c r="Q69" s="57" t="s">
        <v>8</v>
      </c>
      <c r="R69" s="68"/>
      <c r="S69" s="69" t="s">
        <v>97</v>
      </c>
      <c r="T69" s="48"/>
      <c r="U69" s="48"/>
      <c r="V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</row>
    <row r="70" spans="1:254" s="4" customFormat="1" ht="15" customHeight="1">
      <c r="A70" s="57" t="s">
        <v>14</v>
      </c>
      <c r="B70" s="68"/>
      <c r="C70" s="68"/>
      <c r="D70" s="87"/>
      <c r="E70" s="57" t="s">
        <v>14</v>
      </c>
      <c r="F70" s="68"/>
      <c r="G70" s="67" t="s">
        <v>17</v>
      </c>
      <c r="H70" s="87"/>
      <c r="I70" s="33" t="s">
        <v>14</v>
      </c>
      <c r="J70" s="12"/>
      <c r="K70" s="38"/>
      <c r="L70" s="87"/>
      <c r="M70" s="100" t="s">
        <v>14</v>
      </c>
      <c r="N70" s="99"/>
      <c r="O70" s="30" t="s">
        <v>17</v>
      </c>
      <c r="P70" s="87"/>
      <c r="Q70" s="57" t="s">
        <v>14</v>
      </c>
      <c r="R70" s="68"/>
      <c r="S70" s="67" t="s">
        <v>42</v>
      </c>
      <c r="T70" s="48"/>
      <c r="U70" s="48"/>
      <c r="V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</row>
    <row r="71" spans="1:254" s="107" customFormat="1" ht="15" customHeight="1">
      <c r="A71" s="61" t="s">
        <v>20</v>
      </c>
      <c r="B71" s="61">
        <v>24</v>
      </c>
      <c r="C71" s="61">
        <f aca="true" t="shared" si="16" ref="C71:C76">B71/82.1*$C$77</f>
        <v>292.326431181486</v>
      </c>
      <c r="D71" s="108"/>
      <c r="E71" s="61" t="s">
        <v>26</v>
      </c>
      <c r="F71" s="61">
        <v>10</v>
      </c>
      <c r="G71" s="61">
        <f aca="true" t="shared" si="17" ref="G71:G77">F71/81.8*$G$78</f>
        <v>122.24938875305624</v>
      </c>
      <c r="H71" s="108"/>
      <c r="I71" s="39" t="s">
        <v>98</v>
      </c>
      <c r="J71" s="39">
        <v>40</v>
      </c>
      <c r="K71" s="32">
        <f aca="true" t="shared" si="18" ref="K71:K77">J71/128*$K$78</f>
        <v>312.5</v>
      </c>
      <c r="L71" s="108"/>
      <c r="M71" s="60" t="s">
        <v>20</v>
      </c>
      <c r="N71" s="60">
        <v>64.1</v>
      </c>
      <c r="O71" s="58">
        <f aca="true" t="shared" si="19" ref="O71:O77">N71/99.5*$O$78</f>
        <v>644.2211055276381</v>
      </c>
      <c r="P71" s="108"/>
      <c r="Q71" s="61" t="s">
        <v>20</v>
      </c>
      <c r="R71" s="61">
        <v>583.3</v>
      </c>
      <c r="S71" s="61">
        <f aca="true" t="shared" si="20" ref="S71:S77">R71/851.77*$S$78</f>
        <v>684.8092795003346</v>
      </c>
      <c r="T71" s="48"/>
      <c r="U71" s="48"/>
      <c r="V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</row>
    <row r="72" spans="1:254" s="107" customFormat="1" ht="15" customHeight="1">
      <c r="A72" s="61" t="s">
        <v>99</v>
      </c>
      <c r="B72" s="61">
        <v>50</v>
      </c>
      <c r="C72" s="61">
        <f t="shared" si="16"/>
        <v>609.0133982947625</v>
      </c>
      <c r="D72" s="108"/>
      <c r="E72" s="61" t="s">
        <v>98</v>
      </c>
      <c r="F72" s="61">
        <v>3</v>
      </c>
      <c r="G72" s="61">
        <f t="shared" si="17"/>
        <v>36.674816625916876</v>
      </c>
      <c r="H72" s="108"/>
      <c r="I72" s="39" t="s">
        <v>46</v>
      </c>
      <c r="J72" s="39">
        <v>40</v>
      </c>
      <c r="K72" s="32">
        <f t="shared" si="18"/>
        <v>312.5</v>
      </c>
      <c r="L72" s="108"/>
      <c r="M72" s="60" t="s">
        <v>23</v>
      </c>
      <c r="N72" s="60">
        <v>23.4</v>
      </c>
      <c r="O72" s="58">
        <f t="shared" si="19"/>
        <v>235.17587939698493</v>
      </c>
      <c r="P72" s="108"/>
      <c r="Q72" s="61" t="s">
        <v>23</v>
      </c>
      <c r="R72" s="61">
        <v>170</v>
      </c>
      <c r="S72" s="61">
        <f t="shared" si="20"/>
        <v>199.58439484837456</v>
      </c>
      <c r="T72" s="48"/>
      <c r="U72" s="48"/>
      <c r="V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</row>
    <row r="73" spans="1:254" s="5" customFormat="1" ht="14.25" customHeight="1">
      <c r="A73" s="61" t="s">
        <v>33</v>
      </c>
      <c r="B73" s="61">
        <v>1.8</v>
      </c>
      <c r="C73" s="61">
        <f t="shared" si="16"/>
        <v>21.92448233861145</v>
      </c>
      <c r="E73" s="61" t="s">
        <v>31</v>
      </c>
      <c r="F73" s="61">
        <v>11</v>
      </c>
      <c r="G73" s="61">
        <f t="shared" si="17"/>
        <v>134.47432762836186</v>
      </c>
      <c r="I73" s="39" t="s">
        <v>27</v>
      </c>
      <c r="J73" s="39">
        <v>10.5</v>
      </c>
      <c r="K73" s="32">
        <f t="shared" si="18"/>
        <v>82.03125</v>
      </c>
      <c r="M73" s="60" t="s">
        <v>31</v>
      </c>
      <c r="N73" s="60">
        <v>4.2</v>
      </c>
      <c r="O73" s="58">
        <f t="shared" si="19"/>
        <v>42.21105527638191</v>
      </c>
      <c r="Q73" s="61" t="s">
        <v>31</v>
      </c>
      <c r="R73" s="61">
        <v>42.57</v>
      </c>
      <c r="S73" s="61">
        <f t="shared" si="20"/>
        <v>49.97828052173709</v>
      </c>
      <c r="T73" s="48"/>
      <c r="U73" s="48"/>
      <c r="V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</row>
    <row r="74" spans="1:254" s="110" customFormat="1" ht="12">
      <c r="A74" s="61" t="s">
        <v>47</v>
      </c>
      <c r="B74" s="61">
        <v>0.3</v>
      </c>
      <c r="C74" s="61">
        <f t="shared" si="16"/>
        <v>3.654080389768575</v>
      </c>
      <c r="D74" s="6"/>
      <c r="E74" s="61" t="s">
        <v>50</v>
      </c>
      <c r="F74" s="61">
        <v>13</v>
      </c>
      <c r="G74" s="61">
        <f t="shared" si="17"/>
        <v>158.9242053789731</v>
      </c>
      <c r="H74" s="6"/>
      <c r="I74" s="39" t="s">
        <v>23</v>
      </c>
      <c r="J74" s="39">
        <v>1.5</v>
      </c>
      <c r="K74" s="32">
        <f t="shared" si="18"/>
        <v>11.71875</v>
      </c>
      <c r="L74" s="5"/>
      <c r="M74" s="60" t="s">
        <v>24</v>
      </c>
      <c r="N74" s="60">
        <v>5.7</v>
      </c>
      <c r="O74" s="58">
        <f t="shared" si="19"/>
        <v>57.28643216080402</v>
      </c>
      <c r="P74" s="5"/>
      <c r="Q74" s="61" t="s">
        <v>47</v>
      </c>
      <c r="R74" s="61">
        <v>4.83</v>
      </c>
      <c r="S74" s="61">
        <f t="shared" si="20"/>
        <v>5.670544865397936</v>
      </c>
      <c r="T74" s="5"/>
      <c r="U74" s="5"/>
      <c r="V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:254" s="110" customFormat="1" ht="12">
      <c r="A75" s="61" t="s">
        <v>51</v>
      </c>
      <c r="B75" s="61">
        <v>2.8</v>
      </c>
      <c r="C75" s="61">
        <f t="shared" si="16"/>
        <v>34.1047503045067</v>
      </c>
      <c r="D75" s="6"/>
      <c r="E75" s="61" t="s">
        <v>46</v>
      </c>
      <c r="F75" s="61">
        <v>40</v>
      </c>
      <c r="G75" s="61">
        <f t="shared" si="17"/>
        <v>488.99755501222495</v>
      </c>
      <c r="H75" s="6"/>
      <c r="I75" s="39" t="s">
        <v>22</v>
      </c>
      <c r="J75" s="39">
        <v>16</v>
      </c>
      <c r="K75" s="32">
        <f t="shared" si="18"/>
        <v>125</v>
      </c>
      <c r="L75" s="5"/>
      <c r="M75" s="60" t="s">
        <v>47</v>
      </c>
      <c r="N75" s="60">
        <v>0.5</v>
      </c>
      <c r="O75" s="58">
        <f t="shared" si="19"/>
        <v>5.025125628140704</v>
      </c>
      <c r="P75" s="5"/>
      <c r="Q75" s="61" t="s">
        <v>33</v>
      </c>
      <c r="R75" s="61">
        <v>1.25</v>
      </c>
      <c r="S75" s="61">
        <f t="shared" si="20"/>
        <v>1.4675323150615776</v>
      </c>
      <c r="T75" s="5"/>
      <c r="U75" s="5"/>
      <c r="V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</row>
    <row r="76" spans="1:254" s="110" customFormat="1" ht="12">
      <c r="A76" s="61" t="s">
        <v>28</v>
      </c>
      <c r="B76" s="61">
        <v>3.2</v>
      </c>
      <c r="C76" s="61">
        <f t="shared" si="16"/>
        <v>38.9768574908648</v>
      </c>
      <c r="D76" s="6"/>
      <c r="E76" s="61" t="s">
        <v>20</v>
      </c>
      <c r="F76" s="61">
        <v>3.3</v>
      </c>
      <c r="G76" s="61">
        <f t="shared" si="17"/>
        <v>40.34229828850856</v>
      </c>
      <c r="H76" s="6"/>
      <c r="I76" s="39" t="s">
        <v>28</v>
      </c>
      <c r="J76" s="39">
        <v>5</v>
      </c>
      <c r="K76" s="32">
        <f t="shared" si="18"/>
        <v>39.0625</v>
      </c>
      <c r="L76" s="5"/>
      <c r="M76" s="60" t="s">
        <v>52</v>
      </c>
      <c r="N76" s="60">
        <v>1.4</v>
      </c>
      <c r="O76" s="58">
        <f t="shared" si="19"/>
        <v>14.070351758793969</v>
      </c>
      <c r="P76" s="5"/>
      <c r="Q76" s="61" t="s">
        <v>27</v>
      </c>
      <c r="R76" s="61">
        <v>1.25</v>
      </c>
      <c r="S76" s="61">
        <f t="shared" si="20"/>
        <v>1.4675323150615776</v>
      </c>
      <c r="T76" s="5"/>
      <c r="U76" s="5"/>
      <c r="V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s="110" customFormat="1" ht="12">
      <c r="A77" s="67" t="s">
        <v>30</v>
      </c>
      <c r="B77" s="67"/>
      <c r="C77" s="91">
        <v>1000</v>
      </c>
      <c r="D77" s="6"/>
      <c r="E77" s="61" t="s">
        <v>28</v>
      </c>
      <c r="F77" s="61">
        <v>1.5</v>
      </c>
      <c r="G77" s="61">
        <f t="shared" si="17"/>
        <v>18.337408312958438</v>
      </c>
      <c r="H77" s="6"/>
      <c r="I77" s="39" t="s">
        <v>26</v>
      </c>
      <c r="J77" s="39">
        <v>15</v>
      </c>
      <c r="K77" s="32">
        <f t="shared" si="18"/>
        <v>117.1875</v>
      </c>
      <c r="L77" s="5"/>
      <c r="M77" s="60" t="s">
        <v>69</v>
      </c>
      <c r="N77" s="60">
        <v>0.2</v>
      </c>
      <c r="O77" s="58">
        <f t="shared" si="19"/>
        <v>2.0100502512562817</v>
      </c>
      <c r="P77" s="5"/>
      <c r="Q77" s="61" t="s">
        <v>52</v>
      </c>
      <c r="R77" s="61">
        <v>48.57</v>
      </c>
      <c r="S77" s="61">
        <f t="shared" si="20"/>
        <v>57.02243563403266</v>
      </c>
      <c r="T77" s="5"/>
      <c r="U77" s="5"/>
      <c r="V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</row>
    <row r="78" spans="1:254" s="110" customFormat="1" ht="12">
      <c r="A78" s="8"/>
      <c r="B78" s="5"/>
      <c r="C78" s="30"/>
      <c r="D78" s="6"/>
      <c r="E78" s="67" t="s">
        <v>30</v>
      </c>
      <c r="F78" s="67"/>
      <c r="G78" s="91">
        <v>1000</v>
      </c>
      <c r="H78" s="6"/>
      <c r="I78" s="8" t="s">
        <v>30</v>
      </c>
      <c r="J78" s="5"/>
      <c r="K78" s="30">
        <v>1000</v>
      </c>
      <c r="L78" s="5"/>
      <c r="M78" s="8" t="s">
        <v>30</v>
      </c>
      <c r="N78" s="5"/>
      <c r="O78" s="30">
        <v>1000</v>
      </c>
      <c r="P78" s="5"/>
      <c r="Q78" s="61" t="s">
        <v>30</v>
      </c>
      <c r="R78" s="61"/>
      <c r="S78" s="61">
        <v>1000</v>
      </c>
      <c r="T78" s="5"/>
      <c r="U78" s="5"/>
      <c r="V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pans="1:254" s="110" customFormat="1" ht="12">
      <c r="A79" s="8"/>
      <c r="B79" s="5"/>
      <c r="C79" s="30"/>
      <c r="D79" s="6"/>
      <c r="E79" s="6"/>
      <c r="F79" s="6"/>
      <c r="G79" s="6"/>
      <c r="H79" s="6"/>
      <c r="I79" s="6"/>
      <c r="J79" s="5"/>
      <c r="K79" s="5"/>
      <c r="L79" s="5"/>
      <c r="M79" s="5"/>
      <c r="N79" s="5"/>
      <c r="O79" s="5"/>
      <c r="P79" s="5"/>
      <c r="Q79" s="61"/>
      <c r="R79" s="61"/>
      <c r="S79" s="61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</row>
    <row r="80" spans="1:254" s="4" customFormat="1" ht="18.75" customHeight="1">
      <c r="A80" s="11" t="s">
        <v>2</v>
      </c>
      <c r="B80" s="12"/>
      <c r="C80" s="127" t="s">
        <v>100</v>
      </c>
      <c r="D80" s="127"/>
      <c r="E80" s="57" t="s">
        <v>2</v>
      </c>
      <c r="F80" s="68"/>
      <c r="G80" s="71"/>
      <c r="H80" s="47"/>
      <c r="I80" s="11" t="s">
        <v>2</v>
      </c>
      <c r="J80" s="12"/>
      <c r="K80" s="128" t="s">
        <v>100</v>
      </c>
      <c r="L80" s="128"/>
      <c r="M80" s="11" t="s">
        <v>2</v>
      </c>
      <c r="N80" s="12"/>
      <c r="O80" s="56" t="s">
        <v>100</v>
      </c>
      <c r="Q80" s="57" t="s">
        <v>2</v>
      </c>
      <c r="R80" s="68"/>
      <c r="S80" s="71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</row>
    <row r="81" spans="1:254" s="15" customFormat="1" ht="14.25" customHeight="1">
      <c r="A81" s="11" t="s">
        <v>5</v>
      </c>
      <c r="B81" s="12"/>
      <c r="C81" s="16" t="s">
        <v>101</v>
      </c>
      <c r="D81" s="13"/>
      <c r="E81" s="57" t="s">
        <v>5</v>
      </c>
      <c r="F81" s="65"/>
      <c r="G81" s="70" t="s">
        <v>102</v>
      </c>
      <c r="I81" s="11" t="s">
        <v>5</v>
      </c>
      <c r="J81" s="12"/>
      <c r="K81" s="16" t="s">
        <v>102</v>
      </c>
      <c r="M81" s="11" t="s">
        <v>5</v>
      </c>
      <c r="N81" s="12"/>
      <c r="O81" s="16" t="s">
        <v>103</v>
      </c>
      <c r="Q81" s="57" t="s">
        <v>5</v>
      </c>
      <c r="R81" s="68"/>
      <c r="S81" s="70" t="s">
        <v>103</v>
      </c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</row>
    <row r="82" spans="1:254" s="15" customFormat="1" ht="14.25" customHeight="1">
      <c r="A82" s="11" t="s">
        <v>8</v>
      </c>
      <c r="B82" s="12"/>
      <c r="C82" s="16" t="s">
        <v>104</v>
      </c>
      <c r="D82" s="13"/>
      <c r="E82" s="57" t="s">
        <v>8</v>
      </c>
      <c r="F82" s="65"/>
      <c r="G82" s="69" t="s">
        <v>105</v>
      </c>
      <c r="I82" s="11" t="s">
        <v>8</v>
      </c>
      <c r="J82" s="12"/>
      <c r="K82" s="16" t="s">
        <v>106</v>
      </c>
      <c r="M82" s="11" t="s">
        <v>8</v>
      </c>
      <c r="N82" s="12"/>
      <c r="O82" s="16" t="s">
        <v>107</v>
      </c>
      <c r="Q82" s="57" t="s">
        <v>8</v>
      </c>
      <c r="R82" s="68"/>
      <c r="S82" s="69" t="s">
        <v>108</v>
      </c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</row>
    <row r="83" spans="1:254" s="15" customFormat="1" ht="14.25" customHeight="1">
      <c r="A83" s="11" t="s">
        <v>14</v>
      </c>
      <c r="B83" s="12"/>
      <c r="C83" s="9"/>
      <c r="D83" s="13"/>
      <c r="E83" s="57" t="s">
        <v>14</v>
      </c>
      <c r="F83" s="68"/>
      <c r="G83" s="9" t="s">
        <v>17</v>
      </c>
      <c r="I83" s="11" t="s">
        <v>14</v>
      </c>
      <c r="J83" s="12"/>
      <c r="K83" s="9" t="s">
        <v>42</v>
      </c>
      <c r="M83" s="11" t="s">
        <v>14</v>
      </c>
      <c r="N83" s="12"/>
      <c r="O83" s="9" t="s">
        <v>17</v>
      </c>
      <c r="Q83" s="57" t="s">
        <v>14</v>
      </c>
      <c r="R83" s="68"/>
      <c r="S83" s="67" t="s">
        <v>109</v>
      </c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</row>
    <row r="84" spans="1:254" s="15" customFormat="1" ht="14.25" customHeight="1">
      <c r="A84" s="60" t="s">
        <v>26</v>
      </c>
      <c r="B84" s="59">
        <v>13.56</v>
      </c>
      <c r="C84" s="58">
        <f aca="true" t="shared" si="21" ref="C84:C90">B84/88.1*$C$91</f>
        <v>153.91600454029515</v>
      </c>
      <c r="D84" s="13"/>
      <c r="E84" s="61" t="s">
        <v>20</v>
      </c>
      <c r="F84" s="61">
        <v>63</v>
      </c>
      <c r="G84" s="61">
        <f aca="true" t="shared" si="22" ref="G84:G90">F84/83.6*$G$91</f>
        <v>753.5885167464116</v>
      </c>
      <c r="I84" s="5" t="s">
        <v>20</v>
      </c>
      <c r="J84" s="13">
        <v>40</v>
      </c>
      <c r="K84" s="32">
        <f aca="true" t="shared" si="23" ref="K84:K89">J84/50.7*$K$90</f>
        <v>788.9546351084812</v>
      </c>
      <c r="M84" s="5" t="s">
        <v>31</v>
      </c>
      <c r="N84" s="13">
        <v>600</v>
      </c>
      <c r="O84" s="32">
        <f aca="true" t="shared" si="24" ref="O84:O90">N84/1670*$O$91</f>
        <v>359.2814371257485</v>
      </c>
      <c r="Q84" s="61" t="s">
        <v>31</v>
      </c>
      <c r="R84" s="61">
        <v>27</v>
      </c>
      <c r="S84" s="61">
        <f aca="true" t="shared" si="25" ref="S84:S90">R84/80.03*$S$91</f>
        <v>337.37348494314637</v>
      </c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</row>
    <row r="85" spans="1:254" s="15" customFormat="1" ht="14.25" customHeight="1">
      <c r="A85" s="60" t="s">
        <v>44</v>
      </c>
      <c r="B85" s="59">
        <v>7.37</v>
      </c>
      <c r="C85" s="58">
        <f t="shared" si="21"/>
        <v>83.65493757094211</v>
      </c>
      <c r="D85" s="13"/>
      <c r="E85" s="61" t="s">
        <v>22</v>
      </c>
      <c r="F85" s="61">
        <v>5</v>
      </c>
      <c r="G85" s="61">
        <f t="shared" si="22"/>
        <v>59.808612440191396</v>
      </c>
      <c r="I85" s="5" t="s">
        <v>23</v>
      </c>
      <c r="J85" s="13">
        <v>8.2</v>
      </c>
      <c r="K85" s="32">
        <f t="shared" si="23"/>
        <v>161.73570019723863</v>
      </c>
      <c r="M85" s="5" t="s">
        <v>62</v>
      </c>
      <c r="N85" s="13">
        <v>400</v>
      </c>
      <c r="O85" s="32">
        <f t="shared" si="24"/>
        <v>239.52095808383234</v>
      </c>
      <c r="Q85" s="61" t="s">
        <v>63</v>
      </c>
      <c r="R85" s="61">
        <v>17</v>
      </c>
      <c r="S85" s="61">
        <f t="shared" si="25"/>
        <v>212.42034237161064</v>
      </c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</row>
    <row r="86" spans="1:254" s="15" customFormat="1" ht="14.25" customHeight="1">
      <c r="A86" s="60" t="s">
        <v>46</v>
      </c>
      <c r="B86" s="59">
        <v>27.43</v>
      </c>
      <c r="C86" s="58">
        <f t="shared" si="21"/>
        <v>311.3507377979569</v>
      </c>
      <c r="D86" s="13"/>
      <c r="E86" s="61" t="s">
        <v>23</v>
      </c>
      <c r="F86" s="61">
        <v>12.4</v>
      </c>
      <c r="G86" s="61">
        <f t="shared" si="22"/>
        <v>148.32535885167468</v>
      </c>
      <c r="I86" s="5" t="s">
        <v>44</v>
      </c>
      <c r="J86" s="13">
        <v>1.7</v>
      </c>
      <c r="K86" s="32">
        <f t="shared" si="23"/>
        <v>33.53057199211045</v>
      </c>
      <c r="M86" s="5" t="s">
        <v>63</v>
      </c>
      <c r="N86" s="13">
        <v>380</v>
      </c>
      <c r="O86" s="32">
        <f t="shared" si="24"/>
        <v>227.5449101796407</v>
      </c>
      <c r="Q86" s="61" t="s">
        <v>62</v>
      </c>
      <c r="R86" s="61">
        <v>20.35</v>
      </c>
      <c r="S86" s="61">
        <f t="shared" si="25"/>
        <v>254.2796451330751</v>
      </c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</row>
    <row r="87" spans="1:254" s="15" customFormat="1" ht="14.25" customHeight="1">
      <c r="A87" s="60" t="s">
        <v>50</v>
      </c>
      <c r="B87" s="59">
        <v>6.57</v>
      </c>
      <c r="C87" s="58">
        <f t="shared" si="21"/>
        <v>74.57434733257664</v>
      </c>
      <c r="D87" s="13"/>
      <c r="E87" s="61" t="s">
        <v>44</v>
      </c>
      <c r="F87" s="61">
        <v>2.2</v>
      </c>
      <c r="G87" s="61">
        <f t="shared" si="22"/>
        <v>26.315789473684216</v>
      </c>
      <c r="I87" s="5" t="s">
        <v>31</v>
      </c>
      <c r="J87" s="13">
        <v>0.2</v>
      </c>
      <c r="K87" s="32">
        <f t="shared" si="23"/>
        <v>3.9447731755424065</v>
      </c>
      <c r="M87" s="5" t="s">
        <v>53</v>
      </c>
      <c r="N87" s="13">
        <v>200</v>
      </c>
      <c r="O87" s="32">
        <f t="shared" si="24"/>
        <v>119.76047904191617</v>
      </c>
      <c r="Q87" s="61" t="s">
        <v>52</v>
      </c>
      <c r="R87" s="61">
        <v>2.53</v>
      </c>
      <c r="S87" s="61">
        <f t="shared" si="25"/>
        <v>31.613145070598524</v>
      </c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</row>
    <row r="88" spans="1:254" s="15" customFormat="1" ht="14.25" customHeight="1">
      <c r="A88" s="60" t="s">
        <v>31</v>
      </c>
      <c r="B88" s="59">
        <v>20.4</v>
      </c>
      <c r="C88" s="58">
        <f t="shared" si="21"/>
        <v>231.55505107832008</v>
      </c>
      <c r="D88" s="13"/>
      <c r="E88" s="61" t="s">
        <v>31</v>
      </c>
      <c r="F88" s="61">
        <v>0.35</v>
      </c>
      <c r="G88" s="61">
        <f t="shared" si="22"/>
        <v>4.186602870813397</v>
      </c>
      <c r="I88" s="5" t="s">
        <v>32</v>
      </c>
      <c r="J88" s="13">
        <v>0.2</v>
      </c>
      <c r="K88" s="32">
        <f t="shared" si="23"/>
        <v>3.9447731755424065</v>
      </c>
      <c r="M88" s="5" t="s">
        <v>52</v>
      </c>
      <c r="N88" s="13">
        <v>30</v>
      </c>
      <c r="O88" s="32">
        <f t="shared" si="24"/>
        <v>17.964071856287426</v>
      </c>
      <c r="Q88" s="61" t="s">
        <v>53</v>
      </c>
      <c r="R88" s="61">
        <v>10.58</v>
      </c>
      <c r="S88" s="61">
        <f t="shared" si="25"/>
        <v>132.20042484068475</v>
      </c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</row>
    <row r="89" spans="1:254" s="15" customFormat="1" ht="14.25" customHeight="1">
      <c r="A89" s="60" t="s">
        <v>68</v>
      </c>
      <c r="B89" s="59">
        <v>6.5</v>
      </c>
      <c r="C89" s="58">
        <f t="shared" si="21"/>
        <v>73.77979568671964</v>
      </c>
      <c r="D89" s="13"/>
      <c r="E89" s="61" t="s">
        <v>68</v>
      </c>
      <c r="F89" s="61">
        <v>0.35</v>
      </c>
      <c r="G89" s="61">
        <f t="shared" si="22"/>
        <v>4.186602870813397</v>
      </c>
      <c r="I89" s="5" t="s">
        <v>68</v>
      </c>
      <c r="J89" s="13">
        <v>0.4</v>
      </c>
      <c r="K89" s="32">
        <f t="shared" si="23"/>
        <v>7.889546351084813</v>
      </c>
      <c r="M89" s="5" t="s">
        <v>68</v>
      </c>
      <c r="N89" s="13">
        <v>50</v>
      </c>
      <c r="O89" s="32">
        <f t="shared" si="24"/>
        <v>29.940119760479043</v>
      </c>
      <c r="Q89" s="61" t="s">
        <v>68</v>
      </c>
      <c r="R89" s="61">
        <v>2.06</v>
      </c>
      <c r="S89" s="61">
        <f t="shared" si="25"/>
        <v>25.740347369736348</v>
      </c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</row>
    <row r="90" spans="1:254" s="15" customFormat="1" ht="14.25" customHeight="1">
      <c r="A90" s="60" t="s">
        <v>23</v>
      </c>
      <c r="B90" s="59">
        <v>6.3</v>
      </c>
      <c r="C90" s="58">
        <f t="shared" si="21"/>
        <v>71.50964812712826</v>
      </c>
      <c r="D90" s="13"/>
      <c r="E90" s="61" t="s">
        <v>32</v>
      </c>
      <c r="F90" s="61">
        <v>0.3</v>
      </c>
      <c r="G90" s="61">
        <f t="shared" si="22"/>
        <v>3.5885167464114835</v>
      </c>
      <c r="H90" s="5"/>
      <c r="I90" s="8" t="s">
        <v>30</v>
      </c>
      <c r="K90" s="30">
        <v>1000</v>
      </c>
      <c r="M90" s="5" t="s">
        <v>29</v>
      </c>
      <c r="N90" s="13">
        <v>10</v>
      </c>
      <c r="O90" s="32">
        <f t="shared" si="24"/>
        <v>5.9880239520958085</v>
      </c>
      <c r="Q90" s="61" t="s">
        <v>51</v>
      </c>
      <c r="R90" s="61">
        <v>0.51</v>
      </c>
      <c r="S90" s="61">
        <f t="shared" si="25"/>
        <v>6.372610271148319</v>
      </c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</row>
    <row r="91" spans="1:254" s="15" customFormat="1" ht="14.25" customHeight="1">
      <c r="A91" s="8" t="s">
        <v>30</v>
      </c>
      <c r="C91" s="30">
        <v>1000</v>
      </c>
      <c r="D91" s="13"/>
      <c r="E91" s="67" t="s">
        <v>30</v>
      </c>
      <c r="F91" s="67"/>
      <c r="G91" s="91">
        <v>1000</v>
      </c>
      <c r="I91" s="40"/>
      <c r="K91" s="5"/>
      <c r="M91" s="8" t="s">
        <v>30</v>
      </c>
      <c r="O91" s="30">
        <v>1000</v>
      </c>
      <c r="Q91" s="67" t="s">
        <v>30</v>
      </c>
      <c r="R91" s="67"/>
      <c r="S91" s="91">
        <v>1000</v>
      </c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  <c r="IS91" s="48"/>
      <c r="IT91" s="48"/>
    </row>
    <row r="92" spans="1:254" s="15" customFormat="1" ht="14.25" customHeight="1">
      <c r="A92" s="8"/>
      <c r="C92" s="30"/>
      <c r="D92" s="13"/>
      <c r="E92" s="61"/>
      <c r="F92" s="103"/>
      <c r="G92" s="61"/>
      <c r="I92" s="40"/>
      <c r="K92" s="5"/>
      <c r="M92" s="8"/>
      <c r="O92" s="30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  <c r="IT92" s="48"/>
    </row>
    <row r="93" spans="1:254" s="15" customFormat="1" ht="14.25" customHeight="1">
      <c r="A93" s="57" t="s">
        <v>2</v>
      </c>
      <c r="B93" s="68"/>
      <c r="C93" s="71"/>
      <c r="D93" s="65"/>
      <c r="E93" s="57" t="s">
        <v>2</v>
      </c>
      <c r="F93" s="68"/>
      <c r="G93" s="71"/>
      <c r="I93" s="33" t="s">
        <v>2</v>
      </c>
      <c r="J93" s="42"/>
      <c r="K93" s="38" t="s">
        <v>110</v>
      </c>
      <c r="M93" s="33" t="s">
        <v>2</v>
      </c>
      <c r="N93" s="42"/>
      <c r="O93" s="38" t="s">
        <v>111</v>
      </c>
      <c r="Q93" s="33" t="s">
        <v>2</v>
      </c>
      <c r="R93" s="42"/>
      <c r="S93" s="38" t="s">
        <v>112</v>
      </c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</row>
    <row r="94" spans="1:254" s="15" customFormat="1" ht="14.25" customHeight="1">
      <c r="A94" s="57" t="s">
        <v>5</v>
      </c>
      <c r="B94" s="68"/>
      <c r="C94" s="70" t="s">
        <v>113</v>
      </c>
      <c r="D94" s="65"/>
      <c r="E94" s="57" t="s">
        <v>5</v>
      </c>
      <c r="F94" s="68"/>
      <c r="G94" s="70" t="s">
        <v>113</v>
      </c>
      <c r="I94" s="33" t="s">
        <v>5</v>
      </c>
      <c r="J94" s="43"/>
      <c r="K94" s="37" t="s">
        <v>114</v>
      </c>
      <c r="M94" s="33" t="s">
        <v>5</v>
      </c>
      <c r="N94" s="43"/>
      <c r="O94" s="37" t="s">
        <v>114</v>
      </c>
      <c r="Q94" s="33" t="s">
        <v>5</v>
      </c>
      <c r="R94" s="42"/>
      <c r="S94" s="37" t="s">
        <v>115</v>
      </c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  <c r="IS94" s="48"/>
      <c r="IT94" s="48"/>
    </row>
    <row r="95" spans="1:254" s="15" customFormat="1" ht="14.25" customHeight="1">
      <c r="A95" s="57" t="s">
        <v>8</v>
      </c>
      <c r="B95" s="68"/>
      <c r="C95" s="69" t="s">
        <v>116</v>
      </c>
      <c r="D95" s="65"/>
      <c r="E95" s="57" t="s">
        <v>8</v>
      </c>
      <c r="F95" s="68"/>
      <c r="G95" s="69" t="s">
        <v>116</v>
      </c>
      <c r="I95" s="33" t="s">
        <v>8</v>
      </c>
      <c r="J95" s="43"/>
      <c r="K95" s="37" t="s">
        <v>117</v>
      </c>
      <c r="M95" s="33" t="s">
        <v>8</v>
      </c>
      <c r="N95" s="43"/>
      <c r="O95" s="37" t="s">
        <v>118</v>
      </c>
      <c r="Q95" s="33" t="s">
        <v>8</v>
      </c>
      <c r="R95" s="42"/>
      <c r="S95" s="37" t="s">
        <v>119</v>
      </c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</row>
    <row r="96" spans="1:254" s="15" customFormat="1" ht="14.25" customHeight="1">
      <c r="A96" s="57" t="s">
        <v>14</v>
      </c>
      <c r="B96" s="68"/>
      <c r="C96" s="67" t="s">
        <v>17</v>
      </c>
      <c r="D96" s="65"/>
      <c r="E96" s="57" t="s">
        <v>14</v>
      </c>
      <c r="F96" s="68"/>
      <c r="G96" s="67" t="s">
        <v>120</v>
      </c>
      <c r="I96" s="33" t="s">
        <v>14</v>
      </c>
      <c r="J96" s="43"/>
      <c r="K96" s="44"/>
      <c r="M96" s="33" t="s">
        <v>14</v>
      </c>
      <c r="N96" s="43"/>
      <c r="O96" s="44"/>
      <c r="Q96" s="33" t="s">
        <v>14</v>
      </c>
      <c r="R96" s="33"/>
      <c r="S96" s="38" t="s">
        <v>17</v>
      </c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</row>
    <row r="97" spans="1:254" s="5" customFormat="1" ht="14.25" customHeight="1">
      <c r="A97" s="61" t="s">
        <v>63</v>
      </c>
      <c r="B97" s="61">
        <v>12.3</v>
      </c>
      <c r="C97" s="61">
        <f aca="true" t="shared" si="26" ref="C97:C103">B97/86.5*$C$104</f>
        <v>142.19653179190752</v>
      </c>
      <c r="D97" s="103"/>
      <c r="E97" s="61" t="s">
        <v>63</v>
      </c>
      <c r="F97" s="61">
        <v>16</v>
      </c>
      <c r="G97" s="61">
        <f aca="true" t="shared" si="27" ref="G97:G102">F97/116.8*$G$103</f>
        <v>136.986301369863</v>
      </c>
      <c r="I97" s="22" t="s">
        <v>63</v>
      </c>
      <c r="J97" s="22">
        <v>67.8</v>
      </c>
      <c r="K97" s="32">
        <f aca="true" t="shared" si="28" ref="K97:K103">J97/191.9*$K$104</f>
        <v>353.3090151120375</v>
      </c>
      <c r="M97" s="22" t="s">
        <v>31</v>
      </c>
      <c r="N97" s="22">
        <v>541.713961407492</v>
      </c>
      <c r="O97" s="32">
        <f aca="true" t="shared" si="29" ref="O97:O102">N97/1000*$O$103</f>
        <v>541.713961407492</v>
      </c>
      <c r="Q97" s="24" t="s">
        <v>99</v>
      </c>
      <c r="R97" s="25">
        <v>338.8</v>
      </c>
      <c r="S97" s="32">
        <f aca="true" t="shared" si="30" ref="S97:S103">R97/1001*$S$104</f>
        <v>338.46153846153845</v>
      </c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48"/>
      <c r="HX97" s="48"/>
      <c r="HY97" s="48"/>
      <c r="HZ97" s="48"/>
      <c r="IA97" s="48"/>
      <c r="IB97" s="48"/>
      <c r="IC97" s="48"/>
      <c r="ID97" s="48"/>
      <c r="IE97" s="48"/>
      <c r="IF97" s="48"/>
      <c r="IG97" s="48"/>
      <c r="IH97" s="48"/>
      <c r="II97" s="48"/>
      <c r="IJ97" s="48"/>
      <c r="IK97" s="48"/>
      <c r="IL97" s="48"/>
      <c r="IM97" s="48"/>
      <c r="IN97" s="48"/>
      <c r="IO97" s="48"/>
      <c r="IP97" s="48"/>
      <c r="IQ97" s="48"/>
      <c r="IR97" s="48"/>
      <c r="IS97" s="48"/>
      <c r="IT97" s="48"/>
    </row>
    <row r="98" spans="1:254" s="5" customFormat="1" ht="14.25" customHeight="1">
      <c r="A98" s="61" t="s">
        <v>31</v>
      </c>
      <c r="B98" s="61">
        <v>39</v>
      </c>
      <c r="C98" s="61">
        <f t="shared" si="26"/>
        <v>450.8670520231214</v>
      </c>
      <c r="D98" s="103"/>
      <c r="E98" s="61" t="s">
        <v>31</v>
      </c>
      <c r="F98" s="61">
        <v>11</v>
      </c>
      <c r="G98" s="61">
        <f t="shared" si="27"/>
        <v>94.17808219178082</v>
      </c>
      <c r="I98" s="22" t="s">
        <v>121</v>
      </c>
      <c r="J98" s="22">
        <v>45.9</v>
      </c>
      <c r="K98" s="32">
        <f t="shared" si="28"/>
        <v>239.18707660239707</v>
      </c>
      <c r="M98" s="5" t="s">
        <v>121</v>
      </c>
      <c r="N98" s="6">
        <v>60.7264472190692</v>
      </c>
      <c r="O98" s="32">
        <f t="shared" si="29"/>
        <v>60.7264472190692</v>
      </c>
      <c r="Q98" s="24" t="s">
        <v>44</v>
      </c>
      <c r="R98" s="25">
        <v>132.2</v>
      </c>
      <c r="S98" s="32">
        <f t="shared" si="30"/>
        <v>132.06793206793205</v>
      </c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</row>
    <row r="99" spans="1:254" s="5" customFormat="1" ht="14.25" customHeight="1">
      <c r="A99" s="61" t="s">
        <v>62</v>
      </c>
      <c r="B99" s="61">
        <v>20.5</v>
      </c>
      <c r="C99" s="61">
        <f t="shared" si="26"/>
        <v>236.9942196531792</v>
      </c>
      <c r="D99" s="103"/>
      <c r="E99" s="61" t="s">
        <v>62</v>
      </c>
      <c r="F99" s="61">
        <v>41</v>
      </c>
      <c r="G99" s="61">
        <f t="shared" si="27"/>
        <v>351.027397260274</v>
      </c>
      <c r="I99" s="22" t="s">
        <v>23</v>
      </c>
      <c r="J99" s="22">
        <v>4.1</v>
      </c>
      <c r="K99" s="32">
        <f t="shared" si="28"/>
        <v>21.365294424179258</v>
      </c>
      <c r="M99" s="5" t="s">
        <v>63</v>
      </c>
      <c r="N99" s="6">
        <v>193.530079455165</v>
      </c>
      <c r="O99" s="32">
        <f t="shared" si="29"/>
        <v>193.530079455165</v>
      </c>
      <c r="Q99" s="24" t="s">
        <v>24</v>
      </c>
      <c r="R99" s="25">
        <v>144.6</v>
      </c>
      <c r="S99" s="32">
        <f t="shared" si="30"/>
        <v>144.45554445554444</v>
      </c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  <c r="IR99" s="48"/>
      <c r="IS99" s="48"/>
      <c r="IT99" s="48"/>
    </row>
    <row r="100" spans="1:254" s="5" customFormat="1" ht="14.25" customHeight="1">
      <c r="A100" s="61" t="s">
        <v>23</v>
      </c>
      <c r="B100" s="61">
        <v>1.2</v>
      </c>
      <c r="C100" s="61">
        <f t="shared" si="26"/>
        <v>13.872832369942197</v>
      </c>
      <c r="D100" s="103"/>
      <c r="E100" s="61" t="s">
        <v>66</v>
      </c>
      <c r="F100" s="61">
        <v>15.7</v>
      </c>
      <c r="G100" s="61">
        <f t="shared" si="27"/>
        <v>134.41780821917808</v>
      </c>
      <c r="I100" s="22" t="s">
        <v>31</v>
      </c>
      <c r="J100" s="22">
        <v>61.6</v>
      </c>
      <c r="K100" s="32">
        <f t="shared" si="28"/>
        <v>321.000521104742</v>
      </c>
      <c r="M100" s="5" t="s">
        <v>62</v>
      </c>
      <c r="N100" s="6">
        <v>173.382519863791</v>
      </c>
      <c r="O100" s="32">
        <f t="shared" si="29"/>
        <v>173.382519863791</v>
      </c>
      <c r="Q100" s="24" t="s">
        <v>47</v>
      </c>
      <c r="R100" s="25">
        <v>67.4</v>
      </c>
      <c r="S100" s="32">
        <f t="shared" si="30"/>
        <v>67.33266733266734</v>
      </c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48"/>
      <c r="HX100" s="48"/>
      <c r="HY100" s="48"/>
      <c r="HZ100" s="48"/>
      <c r="IA100" s="48"/>
      <c r="IB100" s="48"/>
      <c r="IC100" s="48"/>
      <c r="ID100" s="48"/>
      <c r="IE100" s="48"/>
      <c r="IF100" s="48"/>
      <c r="IG100" s="48"/>
      <c r="IH100" s="48"/>
      <c r="II100" s="48"/>
      <c r="IJ100" s="48"/>
      <c r="IK100" s="48"/>
      <c r="IL100" s="48"/>
      <c r="IM100" s="48"/>
      <c r="IN100" s="48"/>
      <c r="IO100" s="48"/>
      <c r="IP100" s="48"/>
      <c r="IQ100" s="48"/>
      <c r="IR100" s="48"/>
      <c r="IS100" s="48"/>
      <c r="IT100" s="48"/>
    </row>
    <row r="101" spans="1:254" s="5" customFormat="1" ht="14.25" customHeight="1">
      <c r="A101" s="61" t="s">
        <v>51</v>
      </c>
      <c r="B101" s="61">
        <v>0.2</v>
      </c>
      <c r="C101" s="61">
        <f t="shared" si="26"/>
        <v>2.3121387283236996</v>
      </c>
      <c r="D101" s="103"/>
      <c r="E101" s="61" t="s">
        <v>51</v>
      </c>
      <c r="F101" s="61">
        <v>0.1</v>
      </c>
      <c r="G101" s="61">
        <f t="shared" si="27"/>
        <v>0.8561643835616439</v>
      </c>
      <c r="I101" s="22" t="s">
        <v>28</v>
      </c>
      <c r="J101" s="22">
        <v>9.4</v>
      </c>
      <c r="K101" s="32">
        <f t="shared" si="28"/>
        <v>48.98384575299635</v>
      </c>
      <c r="M101" s="5" t="s">
        <v>23</v>
      </c>
      <c r="N101" s="6">
        <v>13.6208853575482</v>
      </c>
      <c r="O101" s="32">
        <f t="shared" si="29"/>
        <v>13.6208853575482</v>
      </c>
      <c r="Q101" s="24" t="s">
        <v>23</v>
      </c>
      <c r="R101" s="25">
        <v>132.1</v>
      </c>
      <c r="S101" s="32">
        <f t="shared" si="30"/>
        <v>131.96803196803197</v>
      </c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48"/>
      <c r="HX101" s="48"/>
      <c r="HY101" s="48"/>
      <c r="HZ101" s="48"/>
      <c r="IA101" s="48"/>
      <c r="IB101" s="48"/>
      <c r="IC101" s="48"/>
      <c r="ID101" s="48"/>
      <c r="IE101" s="48"/>
      <c r="IF101" s="48"/>
      <c r="IG101" s="48"/>
      <c r="IH101" s="48"/>
      <c r="II101" s="48"/>
      <c r="IJ101" s="48"/>
      <c r="IK101" s="48"/>
      <c r="IL101" s="48"/>
      <c r="IM101" s="48"/>
      <c r="IN101" s="48"/>
      <c r="IO101" s="48"/>
      <c r="IP101" s="48"/>
      <c r="IQ101" s="48"/>
      <c r="IR101" s="48"/>
      <c r="IS101" s="48"/>
      <c r="IT101" s="48"/>
    </row>
    <row r="102" spans="1:254" s="5" customFormat="1" ht="14.25" customHeight="1">
      <c r="A102" s="61" t="s">
        <v>28</v>
      </c>
      <c r="B102" s="61">
        <v>2</v>
      </c>
      <c r="C102" s="61">
        <f t="shared" si="26"/>
        <v>23.12138728323699</v>
      </c>
      <c r="D102" s="103"/>
      <c r="E102" s="61" t="s">
        <v>28</v>
      </c>
      <c r="F102" s="61">
        <v>33</v>
      </c>
      <c r="G102" s="61">
        <f t="shared" si="27"/>
        <v>282.5342465753425</v>
      </c>
      <c r="I102" s="22" t="s">
        <v>69</v>
      </c>
      <c r="J102" s="22">
        <v>2.2</v>
      </c>
      <c r="K102" s="32">
        <f t="shared" si="28"/>
        <v>11.46430432516936</v>
      </c>
      <c r="M102" s="5" t="s">
        <v>69</v>
      </c>
      <c r="N102" s="6">
        <v>17.0261066969353</v>
      </c>
      <c r="O102" s="32">
        <f t="shared" si="29"/>
        <v>17.0261066969353</v>
      </c>
      <c r="Q102" s="24" t="s">
        <v>68</v>
      </c>
      <c r="R102" s="25">
        <v>22.1</v>
      </c>
      <c r="S102" s="32">
        <f t="shared" si="30"/>
        <v>22.07792207792208</v>
      </c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  <c r="IK102" s="48"/>
      <c r="IL102" s="48"/>
      <c r="IM102" s="48"/>
      <c r="IN102" s="48"/>
      <c r="IO102" s="48"/>
      <c r="IP102" s="48"/>
      <c r="IQ102" s="48"/>
      <c r="IR102" s="48"/>
      <c r="IS102" s="48"/>
      <c r="IT102" s="48"/>
    </row>
    <row r="103" spans="1:254" s="5" customFormat="1" ht="14.25" customHeight="1">
      <c r="A103" s="61" t="s">
        <v>121</v>
      </c>
      <c r="B103" s="61">
        <v>11.3</v>
      </c>
      <c r="C103" s="61">
        <f t="shared" si="26"/>
        <v>130.63583815028903</v>
      </c>
      <c r="D103" s="103"/>
      <c r="E103" s="67" t="s">
        <v>30</v>
      </c>
      <c r="F103" s="67"/>
      <c r="G103" s="91">
        <v>1000</v>
      </c>
      <c r="I103" s="22" t="s">
        <v>51</v>
      </c>
      <c r="J103" s="22">
        <v>0.9</v>
      </c>
      <c r="K103" s="32">
        <f t="shared" si="28"/>
        <v>4.689942678478374</v>
      </c>
      <c r="M103" s="8" t="s">
        <v>30</v>
      </c>
      <c r="O103" s="30">
        <v>1000</v>
      </c>
      <c r="Q103" s="24" t="s">
        <v>122</v>
      </c>
      <c r="R103" s="25">
        <v>163.8</v>
      </c>
      <c r="S103" s="32">
        <f t="shared" si="30"/>
        <v>163.63636363636363</v>
      </c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</row>
    <row r="104" spans="1:254" s="5" customFormat="1" ht="14.25" customHeight="1">
      <c r="A104" s="67" t="s">
        <v>30</v>
      </c>
      <c r="B104" s="67"/>
      <c r="C104" s="91">
        <v>1000</v>
      </c>
      <c r="D104" s="103"/>
      <c r="E104" s="61"/>
      <c r="F104" s="61"/>
      <c r="G104" s="61"/>
      <c r="I104" s="8" t="s">
        <v>30</v>
      </c>
      <c r="K104" s="30">
        <v>1000</v>
      </c>
      <c r="Q104" s="8" t="s">
        <v>30</v>
      </c>
      <c r="R104" s="15"/>
      <c r="S104" s="30">
        <v>1000</v>
      </c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</row>
    <row r="105" spans="1:254" s="15" customFormat="1" ht="13.5" customHeight="1">
      <c r="A105" s="40"/>
      <c r="B105" s="13"/>
      <c r="C105" s="6"/>
      <c r="D105" s="13"/>
      <c r="E105" s="8"/>
      <c r="G105" s="30"/>
      <c r="H105" s="13"/>
      <c r="I105" s="41"/>
      <c r="K105" s="5"/>
      <c r="M105" s="40"/>
      <c r="O105" s="5"/>
      <c r="Q105" s="40"/>
      <c r="S105" s="5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</row>
    <row r="106" spans="1:254" s="15" customFormat="1" ht="14.25" customHeight="1">
      <c r="A106" s="57" t="s">
        <v>2</v>
      </c>
      <c r="B106" s="68"/>
      <c r="C106" s="71" t="s">
        <v>112</v>
      </c>
      <c r="D106" s="17"/>
      <c r="E106" s="11" t="s">
        <v>2</v>
      </c>
      <c r="F106" s="12"/>
      <c r="G106" s="9" t="s">
        <v>110</v>
      </c>
      <c r="I106" s="11" t="s">
        <v>2</v>
      </c>
      <c r="J106" s="12"/>
      <c r="K106" s="9" t="s">
        <v>110</v>
      </c>
      <c r="L106" s="47"/>
      <c r="M106" s="57" t="s">
        <v>2</v>
      </c>
      <c r="N106" s="68"/>
      <c r="O106" s="71"/>
      <c r="Q106" s="57" t="s">
        <v>2</v>
      </c>
      <c r="R106" s="68"/>
      <c r="S106" s="71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</row>
    <row r="107" spans="1:254" s="15" customFormat="1" ht="14.25" customHeight="1">
      <c r="A107" s="57" t="s">
        <v>5</v>
      </c>
      <c r="B107" s="68"/>
      <c r="C107" s="70" t="s">
        <v>115</v>
      </c>
      <c r="D107" s="17"/>
      <c r="E107" s="11" t="s">
        <v>5</v>
      </c>
      <c r="F107" s="12"/>
      <c r="G107" s="16" t="s">
        <v>123</v>
      </c>
      <c r="H107" s="13"/>
      <c r="I107" s="11" t="s">
        <v>5</v>
      </c>
      <c r="J107" s="12"/>
      <c r="K107" s="16" t="s">
        <v>123</v>
      </c>
      <c r="L107" s="47"/>
      <c r="M107" s="57" t="s">
        <v>5</v>
      </c>
      <c r="N107" s="68"/>
      <c r="O107" s="69" t="s">
        <v>123</v>
      </c>
      <c r="Q107" s="57" t="s">
        <v>5</v>
      </c>
      <c r="R107" s="68"/>
      <c r="S107" s="70" t="s">
        <v>124</v>
      </c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48"/>
      <c r="HZ107" s="48"/>
      <c r="IA107" s="48"/>
      <c r="IB107" s="48"/>
      <c r="IC107" s="48"/>
      <c r="ID107" s="48"/>
      <c r="IE107" s="48"/>
      <c r="IF107" s="48"/>
      <c r="IG107" s="48"/>
      <c r="IH107" s="48"/>
      <c r="II107" s="48"/>
      <c r="IJ107" s="48"/>
      <c r="IK107" s="48"/>
      <c r="IL107" s="48"/>
      <c r="IM107" s="48"/>
      <c r="IN107" s="48"/>
      <c r="IO107" s="48"/>
      <c r="IP107" s="48"/>
      <c r="IQ107" s="48"/>
      <c r="IR107" s="48"/>
      <c r="IS107" s="48"/>
      <c r="IT107" s="48"/>
    </row>
    <row r="108" spans="1:254" s="15" customFormat="1" ht="14.25" customHeight="1">
      <c r="A108" s="57" t="s">
        <v>8</v>
      </c>
      <c r="B108" s="68"/>
      <c r="C108" s="69" t="s">
        <v>119</v>
      </c>
      <c r="D108" s="17"/>
      <c r="E108" s="11" t="s">
        <v>8</v>
      </c>
      <c r="F108" s="12"/>
      <c r="G108" s="16" t="s">
        <v>125</v>
      </c>
      <c r="H108" s="13"/>
      <c r="I108" s="11" t="s">
        <v>8</v>
      </c>
      <c r="J108" s="12"/>
      <c r="K108" s="16" t="s">
        <v>126</v>
      </c>
      <c r="L108" s="47"/>
      <c r="M108" s="57" t="s">
        <v>8</v>
      </c>
      <c r="N108" s="68"/>
      <c r="O108" s="69" t="s">
        <v>127</v>
      </c>
      <c r="Q108" s="57" t="s">
        <v>8</v>
      </c>
      <c r="R108" s="68"/>
      <c r="S108" s="69" t="s">
        <v>128</v>
      </c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</row>
    <row r="109" spans="1:254" s="15" customFormat="1" ht="14.25" customHeight="1">
      <c r="A109" s="57" t="s">
        <v>14</v>
      </c>
      <c r="B109" s="68"/>
      <c r="C109" s="67" t="s">
        <v>129</v>
      </c>
      <c r="D109" s="17"/>
      <c r="E109" s="11" t="s">
        <v>14</v>
      </c>
      <c r="F109" s="12"/>
      <c r="G109" s="9" t="s">
        <v>17</v>
      </c>
      <c r="H109" s="13"/>
      <c r="I109" s="11" t="s">
        <v>14</v>
      </c>
      <c r="J109" s="12"/>
      <c r="K109" s="9" t="s">
        <v>42</v>
      </c>
      <c r="L109" s="47"/>
      <c r="M109" s="57" t="s">
        <v>14</v>
      </c>
      <c r="N109" s="68"/>
      <c r="O109" s="67" t="s">
        <v>130</v>
      </c>
      <c r="Q109" s="57" t="s">
        <v>14</v>
      </c>
      <c r="R109" s="68"/>
      <c r="S109" s="67" t="s">
        <v>17</v>
      </c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48"/>
    </row>
    <row r="110" spans="1:254" s="15" customFormat="1" ht="14.25" customHeight="1">
      <c r="A110" s="61" t="s">
        <v>22</v>
      </c>
      <c r="B110" s="61">
        <v>45</v>
      </c>
      <c r="C110" s="61">
        <f aca="true" t="shared" si="31" ref="C110:C118">B110/81.6*$C$119</f>
        <v>551.4705882352941</v>
      </c>
      <c r="D110" s="17"/>
      <c r="E110" s="6" t="s">
        <v>23</v>
      </c>
      <c r="F110" s="22">
        <v>2.5</v>
      </c>
      <c r="G110" s="32">
        <f aca="true" t="shared" si="32" ref="G110:G115">F110/98.8*$G$116</f>
        <v>25.303643724696357</v>
      </c>
      <c r="I110" s="22" t="s">
        <v>22</v>
      </c>
      <c r="J110" s="32">
        <v>914.1</v>
      </c>
      <c r="K110" s="5">
        <f>J110/1000*$K$115</f>
        <v>914.1</v>
      </c>
      <c r="L110" s="47"/>
      <c r="M110" s="61" t="s">
        <v>22</v>
      </c>
      <c r="N110" s="61">
        <v>75.5</v>
      </c>
      <c r="O110" s="61">
        <f aca="true" t="shared" si="33" ref="O110:O115">N110/87.2*$O$116</f>
        <v>865.8256880733944</v>
      </c>
      <c r="Q110" s="61" t="s">
        <v>26</v>
      </c>
      <c r="R110" s="61">
        <v>13</v>
      </c>
      <c r="S110" s="61">
        <f aca="true" t="shared" si="34" ref="S110:S118">R110/95.8*$S$119</f>
        <v>135.69937369519832</v>
      </c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</row>
    <row r="111" spans="1:254" s="15" customFormat="1" ht="14.25" customHeight="1">
      <c r="A111" s="61" t="s">
        <v>44</v>
      </c>
      <c r="B111" s="61">
        <v>1.5</v>
      </c>
      <c r="C111" s="61">
        <f t="shared" si="31"/>
        <v>18.38235294117647</v>
      </c>
      <c r="D111" s="17"/>
      <c r="E111" s="6" t="s">
        <v>22</v>
      </c>
      <c r="F111" s="22">
        <v>71</v>
      </c>
      <c r="G111" s="32">
        <f t="shared" si="32"/>
        <v>718.6234817813765</v>
      </c>
      <c r="I111" s="5" t="s">
        <v>23</v>
      </c>
      <c r="J111" s="32">
        <v>26.8</v>
      </c>
      <c r="K111" s="5">
        <f>J111/1000*$K$115</f>
        <v>26.8</v>
      </c>
      <c r="L111" s="47"/>
      <c r="M111" s="61" t="s">
        <v>23</v>
      </c>
      <c r="N111" s="61">
        <v>1.5</v>
      </c>
      <c r="O111" s="61">
        <f t="shared" si="33"/>
        <v>17.201834862385322</v>
      </c>
      <c r="Q111" s="61" t="s">
        <v>25</v>
      </c>
      <c r="R111" s="61">
        <v>7</v>
      </c>
      <c r="S111" s="61">
        <f t="shared" si="34"/>
        <v>73.06889352818372</v>
      </c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</row>
    <row r="112" spans="1:254" s="15" customFormat="1" ht="14.25" customHeight="1">
      <c r="A112" s="61" t="s">
        <v>27</v>
      </c>
      <c r="B112" s="61">
        <v>1</v>
      </c>
      <c r="C112" s="61">
        <f t="shared" si="31"/>
        <v>12.254901960784315</v>
      </c>
      <c r="D112" s="17"/>
      <c r="E112" s="6" t="s">
        <v>19</v>
      </c>
      <c r="F112" s="22">
        <v>16</v>
      </c>
      <c r="G112" s="32">
        <f t="shared" si="32"/>
        <v>161.94331983805668</v>
      </c>
      <c r="I112" s="5" t="s">
        <v>29</v>
      </c>
      <c r="J112" s="32">
        <v>11.9</v>
      </c>
      <c r="K112" s="5">
        <f>J112/1000*$K$115</f>
        <v>11.9</v>
      </c>
      <c r="L112" s="47"/>
      <c r="M112" s="61" t="s">
        <v>24</v>
      </c>
      <c r="N112" s="61">
        <v>0.3</v>
      </c>
      <c r="O112" s="61">
        <f t="shared" si="33"/>
        <v>3.440366972477064</v>
      </c>
      <c r="Q112" s="61" t="s">
        <v>44</v>
      </c>
      <c r="R112" s="61">
        <v>3.4</v>
      </c>
      <c r="S112" s="61">
        <f t="shared" si="34"/>
        <v>35.49060542797495</v>
      </c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</row>
    <row r="113" spans="1:254" s="15" customFormat="1" ht="14.25" customHeight="1">
      <c r="A113" s="61" t="s">
        <v>33</v>
      </c>
      <c r="B113" s="61">
        <v>0.6</v>
      </c>
      <c r="C113" s="61">
        <f t="shared" si="31"/>
        <v>7.352941176470588</v>
      </c>
      <c r="D113" s="17"/>
      <c r="E113" s="6" t="s">
        <v>29</v>
      </c>
      <c r="F113" s="22">
        <v>1.2</v>
      </c>
      <c r="G113" s="32">
        <f t="shared" si="32"/>
        <v>12.145748987854251</v>
      </c>
      <c r="I113" s="5" t="s">
        <v>28</v>
      </c>
      <c r="J113" s="32">
        <v>46.8</v>
      </c>
      <c r="K113" s="5">
        <f>J113/1000*$K$115</f>
        <v>46.8</v>
      </c>
      <c r="L113" s="47"/>
      <c r="M113" s="61" t="s">
        <v>44</v>
      </c>
      <c r="N113" s="61">
        <v>0.1</v>
      </c>
      <c r="O113" s="61">
        <f t="shared" si="33"/>
        <v>1.146788990825688</v>
      </c>
      <c r="Q113" s="61" t="s">
        <v>46</v>
      </c>
      <c r="R113" s="61">
        <v>45</v>
      </c>
      <c r="S113" s="61">
        <f t="shared" si="34"/>
        <v>469.7286012526096</v>
      </c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</row>
    <row r="114" spans="1:254" s="15" customFormat="1" ht="14.25" customHeight="1">
      <c r="A114" s="61" t="s">
        <v>47</v>
      </c>
      <c r="B114" s="61">
        <v>0.1</v>
      </c>
      <c r="C114" s="61">
        <f t="shared" si="31"/>
        <v>1.2254901960784317</v>
      </c>
      <c r="D114" s="17"/>
      <c r="E114" s="6" t="s">
        <v>28</v>
      </c>
      <c r="F114" s="22">
        <v>7</v>
      </c>
      <c r="G114" s="32">
        <f t="shared" si="32"/>
        <v>70.8502024291498</v>
      </c>
      <c r="I114" s="5" t="s">
        <v>69</v>
      </c>
      <c r="J114" s="32">
        <v>0.4</v>
      </c>
      <c r="K114" s="5">
        <f>J114/1000*$K$115</f>
        <v>0.4</v>
      </c>
      <c r="L114" s="47"/>
      <c r="M114" s="61" t="s">
        <v>51</v>
      </c>
      <c r="N114" s="61">
        <v>0.8</v>
      </c>
      <c r="O114" s="61">
        <f t="shared" si="33"/>
        <v>9.174311926605505</v>
      </c>
      <c r="Q114" s="61" t="s">
        <v>48</v>
      </c>
      <c r="R114" s="61">
        <v>10</v>
      </c>
      <c r="S114" s="61">
        <f t="shared" si="34"/>
        <v>104.38413361169103</v>
      </c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</row>
    <row r="115" spans="1:254" s="15" customFormat="1" ht="14.25" customHeight="1">
      <c r="A115" s="61" t="s">
        <v>23</v>
      </c>
      <c r="B115" s="61">
        <v>31</v>
      </c>
      <c r="C115" s="61">
        <f t="shared" si="31"/>
        <v>379.90196078431376</v>
      </c>
      <c r="D115" s="17"/>
      <c r="E115" s="6" t="s">
        <v>69</v>
      </c>
      <c r="F115" s="22">
        <v>1.1</v>
      </c>
      <c r="G115" s="32">
        <f t="shared" si="32"/>
        <v>11.133603238866398</v>
      </c>
      <c r="I115" s="8" t="s">
        <v>30</v>
      </c>
      <c r="K115" s="30">
        <v>1000</v>
      </c>
      <c r="L115" s="47"/>
      <c r="M115" s="61" t="s">
        <v>28</v>
      </c>
      <c r="N115" s="61">
        <v>9</v>
      </c>
      <c r="O115" s="61">
        <f t="shared" si="33"/>
        <v>103.21100917431193</v>
      </c>
      <c r="Q115" s="61" t="s">
        <v>23</v>
      </c>
      <c r="R115" s="61">
        <v>10.5</v>
      </c>
      <c r="S115" s="61">
        <f t="shared" si="34"/>
        <v>109.60334029227558</v>
      </c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</row>
    <row r="116" spans="1:254" s="15" customFormat="1" ht="14.25" customHeight="1">
      <c r="A116" s="61" t="s">
        <v>32</v>
      </c>
      <c r="B116" s="61">
        <v>0.2</v>
      </c>
      <c r="C116" s="61">
        <f t="shared" si="31"/>
        <v>2.4509803921568634</v>
      </c>
      <c r="D116" s="17"/>
      <c r="E116" s="8" t="s">
        <v>30</v>
      </c>
      <c r="G116" s="30">
        <v>1000</v>
      </c>
      <c r="L116" s="47"/>
      <c r="M116" s="67" t="s">
        <v>30</v>
      </c>
      <c r="N116" s="67"/>
      <c r="O116" s="91">
        <v>1000</v>
      </c>
      <c r="Q116" s="61" t="s">
        <v>22</v>
      </c>
      <c r="R116" s="61">
        <v>2.5</v>
      </c>
      <c r="S116" s="61">
        <f t="shared" si="34"/>
        <v>26.096033402922757</v>
      </c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  <c r="IP116" s="48"/>
      <c r="IQ116" s="48"/>
      <c r="IR116" s="48"/>
      <c r="IS116" s="48"/>
      <c r="IT116" s="48"/>
    </row>
    <row r="117" spans="1:254" s="15" customFormat="1" ht="14.25" customHeight="1">
      <c r="A117" s="61" t="s">
        <v>51</v>
      </c>
      <c r="B117" s="61">
        <v>0.2</v>
      </c>
      <c r="C117" s="61">
        <f t="shared" si="31"/>
        <v>2.4509803921568634</v>
      </c>
      <c r="D117" s="13"/>
      <c r="E117" s="41"/>
      <c r="G117" s="5"/>
      <c r="I117" s="40"/>
      <c r="J117" s="47"/>
      <c r="K117" s="5"/>
      <c r="L117" s="47"/>
      <c r="M117" s="40"/>
      <c r="N117" s="47"/>
      <c r="O117" s="5"/>
      <c r="Q117" s="61" t="s">
        <v>51</v>
      </c>
      <c r="R117" s="61">
        <v>0.9</v>
      </c>
      <c r="S117" s="61">
        <f t="shared" si="34"/>
        <v>9.394572025052193</v>
      </c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</row>
    <row r="118" spans="1:254" s="15" customFormat="1" ht="14.25" customHeight="1">
      <c r="A118" s="61" t="s">
        <v>28</v>
      </c>
      <c r="B118" s="61">
        <v>2</v>
      </c>
      <c r="C118" s="61">
        <f t="shared" si="31"/>
        <v>24.50980392156863</v>
      </c>
      <c r="D118" s="13"/>
      <c r="E118" s="41"/>
      <c r="G118" s="5"/>
      <c r="I118" s="40"/>
      <c r="J118" s="47"/>
      <c r="K118" s="5"/>
      <c r="L118" s="47"/>
      <c r="M118" s="40"/>
      <c r="N118" s="47"/>
      <c r="O118" s="5"/>
      <c r="Q118" s="61" t="s">
        <v>28</v>
      </c>
      <c r="R118" s="61">
        <v>3.5</v>
      </c>
      <c r="S118" s="61">
        <f t="shared" si="34"/>
        <v>36.53444676409186</v>
      </c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</row>
    <row r="119" spans="1:254" s="15" customFormat="1" ht="14.25" customHeight="1">
      <c r="A119" s="67" t="s">
        <v>30</v>
      </c>
      <c r="B119" s="67"/>
      <c r="C119" s="91">
        <v>1000</v>
      </c>
      <c r="D119" s="13"/>
      <c r="E119" s="41"/>
      <c r="G119" s="5"/>
      <c r="I119" s="40"/>
      <c r="J119" s="47"/>
      <c r="K119" s="5"/>
      <c r="L119" s="47"/>
      <c r="M119" s="40"/>
      <c r="N119" s="47"/>
      <c r="O119" s="5"/>
      <c r="Q119" s="67" t="s">
        <v>30</v>
      </c>
      <c r="R119" s="67"/>
      <c r="S119" s="91">
        <v>1000</v>
      </c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</row>
    <row r="120" spans="1:19" ht="36" customHeight="1">
      <c r="A120" s="119" t="s">
        <v>88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1:19" ht="15" customHeight="1">
      <c r="A121" s="121" t="s">
        <v>0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</row>
    <row r="122" spans="1:19" ht="15" customHeight="1">
      <c r="A122" s="122" t="s">
        <v>1</v>
      </c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</row>
    <row r="123" spans="1:19" ht="19.5" customHeight="1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</row>
    <row r="124" spans="1:254" s="15" customFormat="1" ht="45" customHeight="1">
      <c r="A124" s="33" t="s">
        <v>2</v>
      </c>
      <c r="B124" s="42"/>
      <c r="C124" s="34" t="s">
        <v>110</v>
      </c>
      <c r="E124" s="57" t="s">
        <v>2</v>
      </c>
      <c r="F124" s="68"/>
      <c r="G124" s="71"/>
      <c r="I124" s="33" t="s">
        <v>2</v>
      </c>
      <c r="J124" s="42"/>
      <c r="K124" s="38" t="s">
        <v>131</v>
      </c>
      <c r="L124" s="45"/>
      <c r="M124" s="57" t="s">
        <v>2</v>
      </c>
      <c r="N124" s="68"/>
      <c r="O124" s="71"/>
      <c r="Q124" s="33" t="s">
        <v>2</v>
      </c>
      <c r="R124" s="42"/>
      <c r="S124" s="114" t="s">
        <v>132</v>
      </c>
      <c r="T124" s="113"/>
      <c r="U124" s="48"/>
      <c r="V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</row>
    <row r="125" spans="1:254" s="15" customFormat="1" ht="14.25" customHeight="1">
      <c r="A125" s="33" t="s">
        <v>5</v>
      </c>
      <c r="B125" s="43"/>
      <c r="C125" s="37" t="s">
        <v>124</v>
      </c>
      <c r="E125" s="57" t="s">
        <v>5</v>
      </c>
      <c r="F125" s="65"/>
      <c r="G125" s="70" t="s">
        <v>124</v>
      </c>
      <c r="I125" s="33" t="s">
        <v>5</v>
      </c>
      <c r="J125" s="43"/>
      <c r="K125" s="37" t="s">
        <v>133</v>
      </c>
      <c r="M125" s="57" t="s">
        <v>5</v>
      </c>
      <c r="N125" s="68"/>
      <c r="O125" s="70" t="s">
        <v>133</v>
      </c>
      <c r="Q125" s="33" t="s">
        <v>5</v>
      </c>
      <c r="R125" s="43"/>
      <c r="S125" s="37" t="s">
        <v>134</v>
      </c>
      <c r="T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</row>
    <row r="126" spans="1:254" s="15" customFormat="1" ht="14.25" customHeight="1">
      <c r="A126" s="33" t="s">
        <v>8</v>
      </c>
      <c r="B126" s="43"/>
      <c r="C126" s="37" t="s">
        <v>128</v>
      </c>
      <c r="E126" s="57" t="s">
        <v>8</v>
      </c>
      <c r="F126" s="65"/>
      <c r="G126" s="69" t="s">
        <v>128</v>
      </c>
      <c r="I126" s="33" t="s">
        <v>8</v>
      </c>
      <c r="J126" s="43"/>
      <c r="K126" s="37" t="s">
        <v>135</v>
      </c>
      <c r="M126" s="57" t="s">
        <v>8</v>
      </c>
      <c r="N126" s="68"/>
      <c r="O126" s="69" t="s">
        <v>135</v>
      </c>
      <c r="Q126" s="33" t="s">
        <v>8</v>
      </c>
      <c r="R126" s="43"/>
      <c r="S126" s="37" t="s">
        <v>136</v>
      </c>
      <c r="T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</row>
    <row r="127" spans="1:254" s="15" customFormat="1" ht="14.25" customHeight="1">
      <c r="A127" s="33" t="s">
        <v>14</v>
      </c>
      <c r="B127" s="43"/>
      <c r="C127" s="44"/>
      <c r="E127" s="102" t="s">
        <v>14</v>
      </c>
      <c r="F127" s="73"/>
      <c r="G127" s="67" t="s">
        <v>120</v>
      </c>
      <c r="I127" s="33" t="s">
        <v>14</v>
      </c>
      <c r="J127" s="43"/>
      <c r="K127" s="38" t="s">
        <v>137</v>
      </c>
      <c r="M127" s="57" t="s">
        <v>14</v>
      </c>
      <c r="N127" s="68"/>
      <c r="O127" s="67" t="s">
        <v>17</v>
      </c>
      <c r="Q127" s="33" t="s">
        <v>14</v>
      </c>
      <c r="R127" s="43"/>
      <c r="S127" s="34" t="s">
        <v>18</v>
      </c>
      <c r="T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</row>
    <row r="128" spans="1:254" s="5" customFormat="1" ht="14.25" customHeight="1">
      <c r="A128" s="22" t="s">
        <v>25</v>
      </c>
      <c r="B128" s="22">
        <v>97.1</v>
      </c>
      <c r="C128" s="32">
        <f aca="true" t="shared" si="35" ref="C128:C135">B128/983.5*$C$136</f>
        <v>98.72902897813928</v>
      </c>
      <c r="E128" s="61" t="s">
        <v>26</v>
      </c>
      <c r="F128" s="61">
        <v>18.6</v>
      </c>
      <c r="G128" s="61">
        <f>F128/83.8*$G$133</f>
        <v>221.95704057279238</v>
      </c>
      <c r="I128" s="5" t="s">
        <v>138</v>
      </c>
      <c r="J128" s="6">
        <v>200</v>
      </c>
      <c r="K128" s="32">
        <f>J128/293*$K$132</f>
        <v>682.5938566552902</v>
      </c>
      <c r="M128" s="61" t="s">
        <v>138</v>
      </c>
      <c r="N128" s="61">
        <v>75</v>
      </c>
      <c r="O128" s="61">
        <f>N128/89.13*$O$131</f>
        <v>841.467519353753</v>
      </c>
      <c r="Q128" s="22" t="s">
        <v>23</v>
      </c>
      <c r="R128" s="22">
        <v>927.985597119424</v>
      </c>
      <c r="S128" s="32">
        <f>R128/1000*$S$131</f>
        <v>92.7985597119424</v>
      </c>
      <c r="T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</row>
    <row r="129" spans="1:254" s="5" customFormat="1" ht="14.25" customHeight="1">
      <c r="A129" s="5" t="s">
        <v>26</v>
      </c>
      <c r="B129" s="6">
        <v>203.7</v>
      </c>
      <c r="C129" s="32">
        <f t="shared" si="35"/>
        <v>207.1174377224199</v>
      </c>
      <c r="E129" s="61" t="s">
        <v>46</v>
      </c>
      <c r="F129" s="61">
        <v>34.3</v>
      </c>
      <c r="G129" s="61">
        <f>F129/83.8*$G$133</f>
        <v>409.30787589498806</v>
      </c>
      <c r="I129" s="5" t="s">
        <v>139</v>
      </c>
      <c r="J129" s="6">
        <v>40</v>
      </c>
      <c r="K129" s="32">
        <f>J129/293*$K$132</f>
        <v>136.51877133105802</v>
      </c>
      <c r="M129" s="61" t="s">
        <v>140</v>
      </c>
      <c r="N129" s="61">
        <v>14</v>
      </c>
      <c r="O129" s="61">
        <f>N129/89.13*$O$131</f>
        <v>157.07393694603388</v>
      </c>
      <c r="Q129" s="5" t="s">
        <v>141</v>
      </c>
      <c r="R129" s="6">
        <v>60.8121624324865</v>
      </c>
      <c r="S129" s="32">
        <f>R129/1000*$S$131</f>
        <v>6.08121624324865</v>
      </c>
      <c r="T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</row>
    <row r="130" spans="1:254" s="5" customFormat="1" ht="14.25" customHeight="1">
      <c r="A130" s="5" t="s">
        <v>23</v>
      </c>
      <c r="B130" s="6">
        <v>126.8</v>
      </c>
      <c r="C130" s="32">
        <f t="shared" si="35"/>
        <v>128.92730045754956</v>
      </c>
      <c r="E130" s="61" t="s">
        <v>142</v>
      </c>
      <c r="F130" s="61">
        <v>23</v>
      </c>
      <c r="G130" s="61">
        <f>F130/83.8*$G$133</f>
        <v>274.4630071599046</v>
      </c>
      <c r="I130" s="5" t="s">
        <v>140</v>
      </c>
      <c r="J130" s="6">
        <v>50</v>
      </c>
      <c r="K130" s="32">
        <f>J130/293*$K$132</f>
        <v>170.64846416382255</v>
      </c>
      <c r="M130" s="61" t="s">
        <v>84</v>
      </c>
      <c r="N130" s="61">
        <v>0.13</v>
      </c>
      <c r="O130" s="61">
        <f>N130/89.13*$O$131</f>
        <v>1.4585437002131718</v>
      </c>
      <c r="Q130" s="5" t="s">
        <v>24</v>
      </c>
      <c r="R130" s="6">
        <v>11.2022404480896</v>
      </c>
      <c r="S130" s="32">
        <f>R130/1000*$S$131</f>
        <v>1.12022404480896</v>
      </c>
      <c r="T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</row>
    <row r="131" spans="1:254" s="5" customFormat="1" ht="14.25" customHeight="1">
      <c r="A131" s="5" t="s">
        <v>141</v>
      </c>
      <c r="B131" s="6">
        <v>135.1</v>
      </c>
      <c r="C131" s="32">
        <f t="shared" si="35"/>
        <v>137.36654804270464</v>
      </c>
      <c r="E131" s="61" t="s">
        <v>27</v>
      </c>
      <c r="F131" s="61">
        <v>5.5</v>
      </c>
      <c r="G131" s="61">
        <f>F131/83.8*$G$133</f>
        <v>65.63245823389022</v>
      </c>
      <c r="I131" s="5" t="s">
        <v>82</v>
      </c>
      <c r="J131" s="6">
        <v>3</v>
      </c>
      <c r="K131" s="32">
        <f>J131/293*$K$132</f>
        <v>10.238907849829351</v>
      </c>
      <c r="M131" s="67" t="s">
        <v>30</v>
      </c>
      <c r="N131" s="67"/>
      <c r="O131" s="91">
        <v>1000</v>
      </c>
      <c r="Q131" s="8" t="s">
        <v>30</v>
      </c>
      <c r="S131" s="30">
        <v>100</v>
      </c>
      <c r="T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</row>
    <row r="132" spans="1:254" s="5" customFormat="1" ht="14.25" customHeight="1">
      <c r="A132" s="5" t="s">
        <v>27</v>
      </c>
      <c r="B132" s="6">
        <v>31.2</v>
      </c>
      <c r="C132" s="32">
        <f t="shared" si="35"/>
        <v>31.723436705643113</v>
      </c>
      <c r="E132" s="61" t="s">
        <v>23</v>
      </c>
      <c r="F132" s="61">
        <v>2.4</v>
      </c>
      <c r="G132" s="61">
        <f>F132/83.8*$G$133</f>
        <v>28.639618138424822</v>
      </c>
      <c r="I132" s="8" t="s">
        <v>30</v>
      </c>
      <c r="K132" s="30">
        <v>1000</v>
      </c>
      <c r="M132" s="8"/>
      <c r="O132" s="30"/>
      <c r="T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</row>
    <row r="133" spans="1:254" s="5" customFormat="1" ht="14.25" customHeight="1">
      <c r="A133" s="5" t="s">
        <v>46</v>
      </c>
      <c r="B133" s="6">
        <v>378.4</v>
      </c>
      <c r="C133" s="32">
        <f t="shared" si="35"/>
        <v>384.74834773767157</v>
      </c>
      <c r="E133" s="67" t="s">
        <v>30</v>
      </c>
      <c r="F133" s="67"/>
      <c r="G133" s="91">
        <v>1000</v>
      </c>
      <c r="H133" s="6"/>
      <c r="I133" s="6"/>
      <c r="J133" s="6"/>
      <c r="K133" s="6"/>
      <c r="L133" s="6"/>
      <c r="T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</row>
    <row r="134" spans="1:254" s="5" customFormat="1" ht="12">
      <c r="A134" s="5" t="s">
        <v>143</v>
      </c>
      <c r="B134" s="6">
        <v>6.2</v>
      </c>
      <c r="C134" s="32">
        <f t="shared" si="35"/>
        <v>6.304016268429081</v>
      </c>
      <c r="F134" s="6"/>
      <c r="G134" s="6"/>
      <c r="H134" s="6"/>
      <c r="I134" s="8"/>
      <c r="J134" s="9"/>
      <c r="K134" s="9"/>
      <c r="L134" s="6"/>
      <c r="T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8"/>
      <c r="HA134" s="48"/>
      <c r="HB134" s="48"/>
      <c r="HC134" s="48"/>
      <c r="HD134" s="48"/>
      <c r="HE134" s="48"/>
      <c r="HF134" s="48"/>
      <c r="HG134" s="48"/>
      <c r="HH134" s="48"/>
      <c r="HI134" s="48"/>
      <c r="HJ134" s="48"/>
      <c r="HK134" s="48"/>
      <c r="HL134" s="48"/>
      <c r="HM134" s="48"/>
      <c r="HN134" s="48"/>
      <c r="HO134" s="48"/>
      <c r="HP134" s="48"/>
      <c r="HQ134" s="48"/>
      <c r="HR134" s="48"/>
      <c r="HS134" s="48"/>
      <c r="HT134" s="48"/>
      <c r="HU134" s="48"/>
      <c r="HV134" s="48"/>
      <c r="HW134" s="48"/>
      <c r="HX134" s="48"/>
      <c r="HY134" s="48"/>
      <c r="HZ134" s="48"/>
      <c r="IA134" s="48"/>
      <c r="IB134" s="48"/>
      <c r="IC134" s="48"/>
      <c r="ID134" s="48"/>
      <c r="IE134" s="48"/>
      <c r="IF134" s="48"/>
      <c r="IG134" s="48"/>
      <c r="IH134" s="48"/>
      <c r="II134" s="48"/>
      <c r="IJ134" s="48"/>
      <c r="IK134" s="48"/>
      <c r="IL134" s="48"/>
      <c r="IM134" s="48"/>
      <c r="IN134" s="48"/>
      <c r="IO134" s="48"/>
      <c r="IP134" s="48"/>
      <c r="IQ134" s="48"/>
      <c r="IR134" s="48"/>
      <c r="IS134" s="48"/>
      <c r="IT134" s="48"/>
    </row>
    <row r="135" spans="1:254" s="5" customFormat="1" ht="12.75" customHeight="1">
      <c r="A135" s="5" t="s">
        <v>29</v>
      </c>
      <c r="B135" s="6">
        <v>5</v>
      </c>
      <c r="C135" s="32">
        <f t="shared" si="35"/>
        <v>5.083884087442806</v>
      </c>
      <c r="E135" s="40"/>
      <c r="F135" s="17"/>
      <c r="G135" s="6"/>
      <c r="H135" s="17"/>
      <c r="I135" s="41"/>
      <c r="J135" s="17"/>
      <c r="K135" s="6"/>
      <c r="L135" s="17"/>
      <c r="T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  <c r="HA135" s="48"/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8"/>
      <c r="HW135" s="48"/>
      <c r="HX135" s="48"/>
      <c r="HY135" s="48"/>
      <c r="HZ135" s="48"/>
      <c r="IA135" s="48"/>
      <c r="IB135" s="48"/>
      <c r="IC135" s="48"/>
      <c r="ID135" s="48"/>
      <c r="IE135" s="48"/>
      <c r="IF135" s="48"/>
      <c r="IG135" s="48"/>
      <c r="IH135" s="48"/>
      <c r="II135" s="48"/>
      <c r="IJ135" s="48"/>
      <c r="IK135" s="48"/>
      <c r="IL135" s="48"/>
      <c r="IM135" s="48"/>
      <c r="IN135" s="48"/>
      <c r="IO135" s="48"/>
      <c r="IP135" s="48"/>
      <c r="IQ135" s="48"/>
      <c r="IR135" s="48"/>
      <c r="IS135" s="48"/>
      <c r="IT135" s="48"/>
    </row>
    <row r="136" spans="1:254" s="5" customFormat="1" ht="14.25" customHeight="1">
      <c r="A136" s="8" t="s">
        <v>30</v>
      </c>
      <c r="C136" s="30">
        <v>1000</v>
      </c>
      <c r="D136" s="17"/>
      <c r="E136" s="41"/>
      <c r="F136" s="17"/>
      <c r="G136" s="6"/>
      <c r="H136" s="17"/>
      <c r="I136" s="41"/>
      <c r="J136" s="47"/>
      <c r="M136" s="8"/>
      <c r="O136" s="10"/>
      <c r="T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  <c r="HA136" s="48"/>
      <c r="HB136" s="48"/>
      <c r="HC136" s="48"/>
      <c r="HD136" s="48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8"/>
      <c r="HW136" s="48"/>
      <c r="HX136" s="48"/>
      <c r="HY136" s="48"/>
      <c r="HZ136" s="48"/>
      <c r="IA136" s="48"/>
      <c r="IB136" s="48"/>
      <c r="IC136" s="48"/>
      <c r="ID136" s="48"/>
      <c r="IE136" s="48"/>
      <c r="IF136" s="48"/>
      <c r="IG136" s="48"/>
      <c r="IH136" s="48"/>
      <c r="II136" s="48"/>
      <c r="IJ136" s="48"/>
      <c r="IK136" s="48"/>
      <c r="IL136" s="48"/>
      <c r="IM136" s="48"/>
      <c r="IN136" s="48"/>
      <c r="IO136" s="48"/>
      <c r="IP136" s="48"/>
      <c r="IQ136" s="48"/>
      <c r="IR136" s="48"/>
      <c r="IS136" s="48"/>
      <c r="IT136" s="48"/>
    </row>
    <row r="137" spans="1:254" s="47" customFormat="1" ht="14.25" customHeight="1">
      <c r="A137" s="40"/>
      <c r="B137" s="17"/>
      <c r="C137" s="6"/>
      <c r="D137" s="17"/>
      <c r="E137" s="41"/>
      <c r="F137" s="17"/>
      <c r="G137" s="6"/>
      <c r="H137" s="17"/>
      <c r="I137" s="41"/>
      <c r="K137" s="5"/>
      <c r="M137" s="8"/>
      <c r="O137" s="10"/>
      <c r="Q137" s="8"/>
      <c r="S137" s="30"/>
      <c r="T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48"/>
      <c r="HX137" s="48"/>
      <c r="HY137" s="48"/>
      <c r="HZ137" s="48"/>
      <c r="IA137" s="48"/>
      <c r="IB137" s="48"/>
      <c r="IC137" s="48"/>
      <c r="ID137" s="48"/>
      <c r="IE137" s="48"/>
      <c r="IF137" s="48"/>
      <c r="IG137" s="48"/>
      <c r="IH137" s="48"/>
      <c r="II137" s="48"/>
      <c r="IJ137" s="48"/>
      <c r="IK137" s="48"/>
      <c r="IL137" s="48"/>
      <c r="IM137" s="48"/>
      <c r="IN137" s="48"/>
      <c r="IO137" s="48"/>
      <c r="IP137" s="48"/>
      <c r="IQ137" s="48"/>
      <c r="IR137" s="48"/>
      <c r="IS137" s="48"/>
      <c r="IT137" s="48"/>
    </row>
    <row r="138" spans="1:254" s="47" customFormat="1" ht="25.5" customHeight="1">
      <c r="A138" s="11" t="s">
        <v>2</v>
      </c>
      <c r="B138" s="12"/>
      <c r="C138" s="55" t="s">
        <v>144</v>
      </c>
      <c r="D138" s="17"/>
      <c r="E138" s="57" t="s">
        <v>2</v>
      </c>
      <c r="F138" s="68"/>
      <c r="G138" s="71"/>
      <c r="H138" s="17"/>
      <c r="I138" s="11" t="s">
        <v>2</v>
      </c>
      <c r="J138" s="42"/>
      <c r="K138" s="124" t="s">
        <v>145</v>
      </c>
      <c r="L138" s="13"/>
      <c r="M138" s="57" t="s">
        <v>2</v>
      </c>
      <c r="N138" s="68"/>
      <c r="O138" s="71"/>
      <c r="P138" s="17"/>
      <c r="Q138" s="57" t="s">
        <v>2</v>
      </c>
      <c r="R138" s="68"/>
      <c r="S138" s="71"/>
      <c r="T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  <c r="HA138" s="48"/>
      <c r="HB138" s="48"/>
      <c r="HC138" s="48"/>
      <c r="HD138" s="48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8"/>
      <c r="HW138" s="48"/>
      <c r="HX138" s="48"/>
      <c r="HY138" s="48"/>
      <c r="HZ138" s="48"/>
      <c r="IA138" s="48"/>
      <c r="IB138" s="48"/>
      <c r="IC138" s="48"/>
      <c r="ID138" s="48"/>
      <c r="IE138" s="48"/>
      <c r="IF138" s="48"/>
      <c r="IG138" s="48"/>
      <c r="IH138" s="48"/>
      <c r="II138" s="48"/>
      <c r="IJ138" s="48"/>
      <c r="IK138" s="48"/>
      <c r="IL138" s="48"/>
      <c r="IM138" s="48"/>
      <c r="IN138" s="48"/>
      <c r="IO138" s="48"/>
      <c r="IP138" s="48"/>
      <c r="IQ138" s="48"/>
      <c r="IR138" s="48"/>
      <c r="IS138" s="48"/>
      <c r="IT138" s="48"/>
    </row>
    <row r="139" spans="1:254" s="47" customFormat="1" ht="14.25" customHeight="1">
      <c r="A139" s="11" t="s">
        <v>5</v>
      </c>
      <c r="B139" s="12"/>
      <c r="C139" s="16" t="s">
        <v>134</v>
      </c>
      <c r="D139" s="13"/>
      <c r="E139" s="57" t="s">
        <v>5</v>
      </c>
      <c r="F139" s="68"/>
      <c r="G139" s="69" t="s">
        <v>134</v>
      </c>
      <c r="H139" s="17"/>
      <c r="I139" s="33" t="s">
        <v>5</v>
      </c>
      <c r="J139" s="43"/>
      <c r="K139" s="124"/>
      <c r="L139" s="15"/>
      <c r="M139" s="57" t="s">
        <v>5</v>
      </c>
      <c r="N139" s="68"/>
      <c r="O139" s="70" t="s">
        <v>146</v>
      </c>
      <c r="P139" s="65"/>
      <c r="Q139" s="57" t="s">
        <v>5</v>
      </c>
      <c r="R139" s="68"/>
      <c r="S139" s="70" t="s">
        <v>146</v>
      </c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  <c r="HA139" s="48"/>
      <c r="HB139" s="48"/>
      <c r="HC139" s="48"/>
      <c r="HD139" s="48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8"/>
      <c r="HW139" s="48"/>
      <c r="HX139" s="48"/>
      <c r="HY139" s="48"/>
      <c r="HZ139" s="48"/>
      <c r="IA139" s="48"/>
      <c r="IB139" s="48"/>
      <c r="IC139" s="48"/>
      <c r="ID139" s="48"/>
      <c r="IE139" s="48"/>
      <c r="IF139" s="48"/>
      <c r="IG139" s="48"/>
      <c r="IH139" s="48"/>
      <c r="II139" s="48"/>
      <c r="IJ139" s="48"/>
      <c r="IK139" s="48"/>
      <c r="IL139" s="48"/>
      <c r="IM139" s="48"/>
      <c r="IN139" s="48"/>
      <c r="IO139" s="48"/>
      <c r="IP139" s="48"/>
      <c r="IQ139" s="48"/>
      <c r="IR139" s="48"/>
      <c r="IS139" s="48"/>
      <c r="IT139" s="48"/>
    </row>
    <row r="140" spans="1:254" s="47" customFormat="1" ht="14.25" customHeight="1">
      <c r="A140" s="11" t="s">
        <v>8</v>
      </c>
      <c r="B140" s="12"/>
      <c r="C140" s="16" t="s">
        <v>147</v>
      </c>
      <c r="D140" s="13"/>
      <c r="E140" s="57" t="s">
        <v>8</v>
      </c>
      <c r="F140" s="68"/>
      <c r="G140" s="70" t="s">
        <v>147</v>
      </c>
      <c r="H140" s="17"/>
      <c r="I140" s="33" t="s">
        <v>8</v>
      </c>
      <c r="J140" s="43"/>
      <c r="K140" s="37" t="s">
        <v>148</v>
      </c>
      <c r="L140" s="15"/>
      <c r="M140" s="57" t="s">
        <v>8</v>
      </c>
      <c r="N140" s="68"/>
      <c r="O140" s="69" t="s">
        <v>148</v>
      </c>
      <c r="P140" s="65"/>
      <c r="Q140" s="57" t="s">
        <v>8</v>
      </c>
      <c r="R140" s="68"/>
      <c r="S140" s="69" t="s">
        <v>148</v>
      </c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  <c r="IS140" s="48"/>
      <c r="IT140" s="48"/>
    </row>
    <row r="141" spans="1:254" s="47" customFormat="1" ht="14.25" customHeight="1">
      <c r="A141" s="11" t="s">
        <v>14</v>
      </c>
      <c r="B141" s="12"/>
      <c r="C141" s="9"/>
      <c r="D141" s="13"/>
      <c r="E141" s="57" t="s">
        <v>14</v>
      </c>
      <c r="F141" s="68"/>
      <c r="G141" s="67"/>
      <c r="H141" s="17"/>
      <c r="I141" s="33" t="s">
        <v>14</v>
      </c>
      <c r="J141" s="43"/>
      <c r="K141" s="44"/>
      <c r="M141" s="57" t="s">
        <v>14</v>
      </c>
      <c r="N141" s="68"/>
      <c r="O141" s="67" t="s">
        <v>149</v>
      </c>
      <c r="P141" s="65"/>
      <c r="Q141" s="57" t="s">
        <v>14</v>
      </c>
      <c r="R141" s="68"/>
      <c r="S141" s="67" t="s">
        <v>17</v>
      </c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  <c r="IK141" s="48"/>
      <c r="IL141" s="48"/>
      <c r="IM141" s="48"/>
      <c r="IN141" s="48"/>
      <c r="IO141" s="48"/>
      <c r="IP141" s="48"/>
      <c r="IQ141" s="48"/>
      <c r="IR141" s="48"/>
      <c r="IS141" s="48"/>
      <c r="IT141" s="48"/>
    </row>
    <row r="142" spans="1:254" s="5" customFormat="1" ht="14.25" customHeight="1">
      <c r="A142" s="5" t="s">
        <v>141</v>
      </c>
      <c r="B142" s="7">
        <v>35</v>
      </c>
      <c r="C142" s="7">
        <f aca="true" t="shared" si="36" ref="C142:C147">B142/176.5*$C$148</f>
        <v>198.300283286119</v>
      </c>
      <c r="D142" s="6"/>
      <c r="E142" s="61" t="s">
        <v>150</v>
      </c>
      <c r="F142" s="61">
        <v>192</v>
      </c>
      <c r="G142" s="61">
        <f aca="true" t="shared" si="37" ref="G142:G148">F142/308.5*$G$149</f>
        <v>622.3662884927066</v>
      </c>
      <c r="H142" s="17"/>
      <c r="I142" s="5" t="s">
        <v>20</v>
      </c>
      <c r="J142" s="6">
        <v>117.3</v>
      </c>
      <c r="K142" s="7">
        <f aca="true" t="shared" si="38" ref="K142:K148">J142/195.1*$K$149</f>
        <v>601.230138390569</v>
      </c>
      <c r="M142" s="61" t="s">
        <v>22</v>
      </c>
      <c r="N142" s="61">
        <v>74</v>
      </c>
      <c r="O142" s="61">
        <f aca="true" t="shared" si="39" ref="O142:O148">N142/85.3*$O$149</f>
        <v>867.5263774912075</v>
      </c>
      <c r="P142" s="61"/>
      <c r="Q142" s="61" t="s">
        <v>20</v>
      </c>
      <c r="R142" s="61">
        <v>20.9</v>
      </c>
      <c r="S142" s="61">
        <f aca="true" t="shared" si="40" ref="S142:S148">R142/82.6*$S$149</f>
        <v>253.02663438256656</v>
      </c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</row>
    <row r="143" spans="1:254" s="5" customFormat="1" ht="14.25" customHeight="1">
      <c r="A143" s="5" t="s">
        <v>151</v>
      </c>
      <c r="B143" s="7">
        <v>15</v>
      </c>
      <c r="C143" s="7">
        <f t="shared" si="36"/>
        <v>84.98583569405099</v>
      </c>
      <c r="D143" s="6"/>
      <c r="E143" s="61" t="s">
        <v>23</v>
      </c>
      <c r="F143" s="61">
        <v>40</v>
      </c>
      <c r="G143" s="61">
        <f t="shared" si="37"/>
        <v>129.65964343598054</v>
      </c>
      <c r="H143" s="17"/>
      <c r="I143" s="5" t="s">
        <v>22</v>
      </c>
      <c r="J143" s="6">
        <v>66.4</v>
      </c>
      <c r="K143" s="7">
        <f t="shared" si="38"/>
        <v>340.3382880574065</v>
      </c>
      <c r="M143" s="61" t="s">
        <v>23</v>
      </c>
      <c r="N143" s="61">
        <v>1.3</v>
      </c>
      <c r="O143" s="61">
        <f t="shared" si="39"/>
        <v>15.240328253223916</v>
      </c>
      <c r="P143" s="61"/>
      <c r="Q143" s="61" t="s">
        <v>22</v>
      </c>
      <c r="R143" s="61">
        <v>48.5</v>
      </c>
      <c r="S143" s="61">
        <f t="shared" si="40"/>
        <v>587.1670702179177</v>
      </c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</row>
    <row r="144" spans="1:254" s="5" customFormat="1" ht="14.25" customHeight="1">
      <c r="A144" s="5" t="s">
        <v>48</v>
      </c>
      <c r="B144" s="7">
        <v>5</v>
      </c>
      <c r="C144" s="7">
        <f t="shared" si="36"/>
        <v>28.328611898016998</v>
      </c>
      <c r="D144" s="6"/>
      <c r="E144" s="61" t="s">
        <v>141</v>
      </c>
      <c r="F144" s="61">
        <v>43</v>
      </c>
      <c r="G144" s="61">
        <f t="shared" si="37"/>
        <v>139.3841166936791</v>
      </c>
      <c r="H144" s="17"/>
      <c r="I144" s="5" t="s">
        <v>44</v>
      </c>
      <c r="J144" s="6">
        <v>3.1</v>
      </c>
      <c r="K144" s="7">
        <f t="shared" si="38"/>
        <v>15.889287544848797</v>
      </c>
      <c r="M144" s="61" t="s">
        <v>26</v>
      </c>
      <c r="N144" s="61">
        <v>0.85</v>
      </c>
      <c r="O144" s="61">
        <f t="shared" si="39"/>
        <v>9.964830011723329</v>
      </c>
      <c r="P144" s="61"/>
      <c r="Q144" s="61" t="s">
        <v>23</v>
      </c>
      <c r="R144" s="61">
        <v>1.8</v>
      </c>
      <c r="S144" s="61">
        <f t="shared" si="40"/>
        <v>21.79176755447942</v>
      </c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</row>
    <row r="145" spans="1:254" s="5" customFormat="1" ht="14.25" customHeight="1">
      <c r="A145" s="5" t="s">
        <v>32</v>
      </c>
      <c r="B145" s="7">
        <v>21</v>
      </c>
      <c r="C145" s="7">
        <f t="shared" si="36"/>
        <v>118.98016997167139</v>
      </c>
      <c r="D145" s="6"/>
      <c r="E145" s="61" t="s">
        <v>46</v>
      </c>
      <c r="F145" s="61">
        <v>13</v>
      </c>
      <c r="G145" s="61">
        <f t="shared" si="37"/>
        <v>42.13938411669368</v>
      </c>
      <c r="H145" s="17"/>
      <c r="I145" s="5" t="s">
        <v>28</v>
      </c>
      <c r="J145" s="6">
        <v>2.5</v>
      </c>
      <c r="K145" s="7">
        <f t="shared" si="38"/>
        <v>12.813941568426449</v>
      </c>
      <c r="M145" s="61" t="s">
        <v>27</v>
      </c>
      <c r="N145" s="61">
        <v>0.45</v>
      </c>
      <c r="O145" s="61">
        <f t="shared" si="39"/>
        <v>5.275498241500587</v>
      </c>
      <c r="P145" s="61"/>
      <c r="Q145" s="61" t="s">
        <v>26</v>
      </c>
      <c r="R145" s="61">
        <v>0.8</v>
      </c>
      <c r="S145" s="61">
        <f t="shared" si="40"/>
        <v>9.685230024213075</v>
      </c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  <c r="IB145" s="48"/>
      <c r="IC145" s="48"/>
      <c r="ID145" s="48"/>
      <c r="IE145" s="48"/>
      <c r="IF145" s="48"/>
      <c r="IG145" s="48"/>
      <c r="IH145" s="48"/>
      <c r="II145" s="48"/>
      <c r="IJ145" s="48"/>
      <c r="IK145" s="48"/>
      <c r="IL145" s="48"/>
      <c r="IM145" s="48"/>
      <c r="IN145" s="48"/>
      <c r="IO145" s="48"/>
      <c r="IP145" s="48"/>
      <c r="IQ145" s="48"/>
      <c r="IR145" s="48"/>
      <c r="IS145" s="48"/>
      <c r="IT145" s="48"/>
    </row>
    <row r="146" spans="1:254" s="5" customFormat="1" ht="14.25" customHeight="1">
      <c r="A146" s="5" t="s">
        <v>228</v>
      </c>
      <c r="B146" s="7">
        <v>100</v>
      </c>
      <c r="C146" s="7">
        <f t="shared" si="36"/>
        <v>566.57223796034</v>
      </c>
      <c r="D146" s="6"/>
      <c r="E146" s="61" t="s">
        <v>25</v>
      </c>
      <c r="F146" s="61">
        <v>6.5</v>
      </c>
      <c r="G146" s="61">
        <f t="shared" si="37"/>
        <v>21.06969205834684</v>
      </c>
      <c r="H146" s="17"/>
      <c r="I146" s="5" t="s">
        <v>23</v>
      </c>
      <c r="J146" s="6">
        <v>3</v>
      </c>
      <c r="K146" s="7">
        <f t="shared" si="38"/>
        <v>15.376729882111738</v>
      </c>
      <c r="M146" s="61" t="s">
        <v>46</v>
      </c>
      <c r="N146" s="61">
        <v>2</v>
      </c>
      <c r="O146" s="61">
        <f t="shared" si="39"/>
        <v>23.446658851113718</v>
      </c>
      <c r="P146" s="61"/>
      <c r="Q146" s="61" t="s">
        <v>27</v>
      </c>
      <c r="R146" s="61">
        <v>0.5</v>
      </c>
      <c r="S146" s="61">
        <f t="shared" si="40"/>
        <v>6.053268765133173</v>
      </c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48"/>
      <c r="HW146" s="48"/>
      <c r="HX146" s="48"/>
      <c r="HY146" s="48"/>
      <c r="HZ146" s="48"/>
      <c r="IA146" s="48"/>
      <c r="IB146" s="48"/>
      <c r="IC146" s="48"/>
      <c r="ID146" s="48"/>
      <c r="IE146" s="48"/>
      <c r="IF146" s="48"/>
      <c r="IG146" s="48"/>
      <c r="IH146" s="48"/>
      <c r="II146" s="48"/>
      <c r="IJ146" s="48"/>
      <c r="IK146" s="48"/>
      <c r="IL146" s="48"/>
      <c r="IM146" s="48"/>
      <c r="IN146" s="48"/>
      <c r="IO146" s="48"/>
      <c r="IP146" s="48"/>
      <c r="IQ146" s="48"/>
      <c r="IR146" s="48"/>
      <c r="IS146" s="48"/>
      <c r="IT146" s="48"/>
    </row>
    <row r="147" spans="1:254" s="5" customFormat="1" ht="14.25" customHeight="1">
      <c r="A147" s="5" t="s">
        <v>26</v>
      </c>
      <c r="B147" s="7">
        <v>0.5</v>
      </c>
      <c r="C147" s="7">
        <f t="shared" si="36"/>
        <v>2.8328611898017</v>
      </c>
      <c r="D147" s="6"/>
      <c r="E147" s="61" t="s">
        <v>51</v>
      </c>
      <c r="F147" s="61">
        <v>5</v>
      </c>
      <c r="G147" s="61">
        <f t="shared" si="37"/>
        <v>16.207455429497568</v>
      </c>
      <c r="H147" s="17"/>
      <c r="I147" s="5" t="s">
        <v>32</v>
      </c>
      <c r="J147" s="6">
        <v>1.1</v>
      </c>
      <c r="K147" s="7">
        <f t="shared" si="38"/>
        <v>5.638134290107638</v>
      </c>
      <c r="M147" s="61" t="s">
        <v>51</v>
      </c>
      <c r="N147" s="61">
        <v>0.7</v>
      </c>
      <c r="O147" s="61">
        <f t="shared" si="39"/>
        <v>8.2063305978898</v>
      </c>
      <c r="P147" s="61"/>
      <c r="Q147" s="61" t="s">
        <v>51</v>
      </c>
      <c r="R147" s="61">
        <v>1.1</v>
      </c>
      <c r="S147" s="61">
        <f t="shared" si="40"/>
        <v>13.31719128329298</v>
      </c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  <c r="GR147" s="48"/>
      <c r="GS147" s="48"/>
      <c r="GT147" s="48"/>
      <c r="GU147" s="48"/>
      <c r="GV147" s="48"/>
      <c r="GW147" s="48"/>
      <c r="GX147" s="48"/>
      <c r="GY147" s="48"/>
      <c r="GZ147" s="48"/>
      <c r="HA147" s="48"/>
      <c r="HB147" s="48"/>
      <c r="HC147" s="48"/>
      <c r="HD147" s="48"/>
      <c r="HE147" s="48"/>
      <c r="HF147" s="48"/>
      <c r="HG147" s="48"/>
      <c r="HH147" s="48"/>
      <c r="HI147" s="48"/>
      <c r="HJ147" s="48"/>
      <c r="HK147" s="48"/>
      <c r="HL147" s="48"/>
      <c r="HM147" s="48"/>
      <c r="HN147" s="48"/>
      <c r="HO147" s="48"/>
      <c r="HP147" s="48"/>
      <c r="HQ147" s="48"/>
      <c r="HR147" s="48"/>
      <c r="HS147" s="48"/>
      <c r="HT147" s="48"/>
      <c r="HU147" s="48"/>
      <c r="HV147" s="48"/>
      <c r="HW147" s="48"/>
      <c r="HX147" s="48"/>
      <c r="HY147" s="48"/>
      <c r="HZ147" s="48"/>
      <c r="IA147" s="48"/>
      <c r="IB147" s="48"/>
      <c r="IC147" s="48"/>
      <c r="ID147" s="48"/>
      <c r="IE147" s="48"/>
      <c r="IF147" s="48"/>
      <c r="IG147" s="48"/>
      <c r="IH147" s="48"/>
      <c r="II147" s="48"/>
      <c r="IJ147" s="48"/>
      <c r="IK147" s="48"/>
      <c r="IL147" s="48"/>
      <c r="IM147" s="48"/>
      <c r="IN147" s="48"/>
      <c r="IO147" s="48"/>
      <c r="IP147" s="48"/>
      <c r="IQ147" s="48"/>
      <c r="IR147" s="48"/>
      <c r="IS147" s="48"/>
      <c r="IT147" s="48"/>
    </row>
    <row r="148" spans="1:254" s="5" customFormat="1" ht="14.25" customHeight="1">
      <c r="A148" s="67" t="s">
        <v>30</v>
      </c>
      <c r="B148" s="67"/>
      <c r="C148" s="91">
        <v>1000</v>
      </c>
      <c r="D148" s="6"/>
      <c r="E148" s="61" t="s">
        <v>28</v>
      </c>
      <c r="F148" s="61">
        <v>9</v>
      </c>
      <c r="G148" s="61">
        <f t="shared" si="37"/>
        <v>29.173419773095624</v>
      </c>
      <c r="H148" s="17"/>
      <c r="I148" s="5" t="s">
        <v>24</v>
      </c>
      <c r="J148" s="6">
        <v>1.7</v>
      </c>
      <c r="K148" s="7">
        <f t="shared" si="38"/>
        <v>8.713480266529984</v>
      </c>
      <c r="M148" s="61" t="s">
        <v>28</v>
      </c>
      <c r="N148" s="61">
        <v>6</v>
      </c>
      <c r="O148" s="61">
        <f t="shared" si="39"/>
        <v>70.33997655334115</v>
      </c>
      <c r="P148" s="61"/>
      <c r="Q148" s="61" t="s">
        <v>28</v>
      </c>
      <c r="R148" s="61">
        <v>9</v>
      </c>
      <c r="S148" s="61">
        <f t="shared" si="40"/>
        <v>108.9588377723971</v>
      </c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  <c r="GR148" s="48"/>
      <c r="GS148" s="48"/>
      <c r="GT148" s="48"/>
      <c r="GU148" s="48"/>
      <c r="GV148" s="48"/>
      <c r="GW148" s="48"/>
      <c r="GX148" s="48"/>
      <c r="GY148" s="48"/>
      <c r="GZ148" s="48"/>
      <c r="HA148" s="48"/>
      <c r="HB148" s="48"/>
      <c r="HC148" s="48"/>
      <c r="HD148" s="48"/>
      <c r="HE148" s="48"/>
      <c r="HF148" s="48"/>
      <c r="HG148" s="48"/>
      <c r="HH148" s="48"/>
      <c r="HI148" s="48"/>
      <c r="HJ148" s="48"/>
      <c r="HK148" s="48"/>
      <c r="HL148" s="48"/>
      <c r="HM148" s="48"/>
      <c r="HN148" s="48"/>
      <c r="HO148" s="48"/>
      <c r="HP148" s="48"/>
      <c r="HQ148" s="48"/>
      <c r="HR148" s="48"/>
      <c r="HS148" s="48"/>
      <c r="HT148" s="48"/>
      <c r="HU148" s="48"/>
      <c r="HV148" s="48"/>
      <c r="HW148" s="48"/>
      <c r="HX148" s="48"/>
      <c r="HY148" s="48"/>
      <c r="HZ148" s="48"/>
      <c r="IA148" s="48"/>
      <c r="IB148" s="48"/>
      <c r="IC148" s="48"/>
      <c r="ID148" s="48"/>
      <c r="IE148" s="48"/>
      <c r="IF148" s="48"/>
      <c r="IG148" s="48"/>
      <c r="IH148" s="48"/>
      <c r="II148" s="48"/>
      <c r="IJ148" s="48"/>
      <c r="IK148" s="48"/>
      <c r="IL148" s="48"/>
      <c r="IM148" s="48"/>
      <c r="IN148" s="48"/>
      <c r="IO148" s="48"/>
      <c r="IP148" s="48"/>
      <c r="IQ148" s="48"/>
      <c r="IR148" s="48"/>
      <c r="IS148" s="48"/>
      <c r="IT148" s="48"/>
    </row>
    <row r="149" spans="4:254" s="5" customFormat="1" ht="14.25" customHeight="1">
      <c r="D149" s="6"/>
      <c r="E149" s="67" t="s">
        <v>30</v>
      </c>
      <c r="F149" s="67"/>
      <c r="G149" s="91">
        <v>1000</v>
      </c>
      <c r="H149" s="17"/>
      <c r="I149" s="8" t="s">
        <v>30</v>
      </c>
      <c r="K149" s="10">
        <v>1000</v>
      </c>
      <c r="M149" s="67" t="s">
        <v>30</v>
      </c>
      <c r="N149" s="67"/>
      <c r="O149" s="91">
        <v>1000</v>
      </c>
      <c r="P149" s="61"/>
      <c r="Q149" s="67" t="s">
        <v>30</v>
      </c>
      <c r="R149" s="67"/>
      <c r="S149" s="91">
        <v>1000</v>
      </c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  <c r="GS149" s="48"/>
      <c r="GT149" s="48"/>
      <c r="GU149" s="48"/>
      <c r="GV149" s="48"/>
      <c r="GW149" s="48"/>
      <c r="GX149" s="48"/>
      <c r="GY149" s="48"/>
      <c r="GZ149" s="48"/>
      <c r="HA149" s="48"/>
      <c r="HB149" s="48"/>
      <c r="HC149" s="48"/>
      <c r="HD149" s="48"/>
      <c r="HE149" s="48"/>
      <c r="HF149" s="48"/>
      <c r="HG149" s="48"/>
      <c r="HH149" s="48"/>
      <c r="HI149" s="48"/>
      <c r="HJ149" s="48"/>
      <c r="HK149" s="48"/>
      <c r="HL149" s="48"/>
      <c r="HM149" s="48"/>
      <c r="HN149" s="48"/>
      <c r="HO149" s="48"/>
      <c r="HP149" s="48"/>
      <c r="HQ149" s="48"/>
      <c r="HR149" s="48"/>
      <c r="HS149" s="48"/>
      <c r="HT149" s="48"/>
      <c r="HU149" s="48"/>
      <c r="HV149" s="48"/>
      <c r="HW149" s="48"/>
      <c r="HX149" s="48"/>
      <c r="HY149" s="48"/>
      <c r="HZ149" s="48"/>
      <c r="IA149" s="48"/>
      <c r="IB149" s="48"/>
      <c r="IC149" s="48"/>
      <c r="ID149" s="48"/>
      <c r="IE149" s="48"/>
      <c r="IF149" s="48"/>
      <c r="IG149" s="48"/>
      <c r="IH149" s="48"/>
      <c r="II149" s="48"/>
      <c r="IJ149" s="48"/>
      <c r="IK149" s="48"/>
      <c r="IL149" s="48"/>
      <c r="IM149" s="48"/>
      <c r="IN149" s="48"/>
      <c r="IO149" s="48"/>
      <c r="IP149" s="48"/>
      <c r="IQ149" s="48"/>
      <c r="IR149" s="48"/>
      <c r="IS149" s="48"/>
      <c r="IT149" s="48"/>
    </row>
    <row r="150" spans="4:254" s="5" customFormat="1" ht="14.25" customHeight="1">
      <c r="D150" s="6"/>
      <c r="E150" s="41"/>
      <c r="F150" s="17"/>
      <c r="G150" s="6"/>
      <c r="H150" s="17"/>
      <c r="I150" s="41"/>
      <c r="J150" s="47"/>
      <c r="M150" s="61"/>
      <c r="N150" s="61"/>
      <c r="O150" s="61"/>
      <c r="P150" s="61"/>
      <c r="Q150" s="61"/>
      <c r="R150" s="61"/>
      <c r="S150" s="61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  <c r="HA150" s="48"/>
      <c r="HB150" s="48"/>
      <c r="HC150" s="48"/>
      <c r="HD150" s="48"/>
      <c r="HE150" s="48"/>
      <c r="HF150" s="48"/>
      <c r="HG150" s="48"/>
      <c r="HH150" s="48"/>
      <c r="HI150" s="48"/>
      <c r="HJ150" s="48"/>
      <c r="HK150" s="48"/>
      <c r="HL150" s="48"/>
      <c r="HM150" s="48"/>
      <c r="HN150" s="48"/>
      <c r="HO150" s="48"/>
      <c r="HP150" s="48"/>
      <c r="HQ150" s="48"/>
      <c r="HR150" s="48"/>
      <c r="HS150" s="48"/>
      <c r="HT150" s="48"/>
      <c r="HU150" s="48"/>
      <c r="HV150" s="48"/>
      <c r="HW150" s="48"/>
      <c r="HX150" s="48"/>
      <c r="HY150" s="48"/>
      <c r="HZ150" s="48"/>
      <c r="IA150" s="48"/>
      <c r="IB150" s="48"/>
      <c r="IC150" s="48"/>
      <c r="ID150" s="48"/>
      <c r="IE150" s="48"/>
      <c r="IF150" s="48"/>
      <c r="IG150" s="48"/>
      <c r="IH150" s="48"/>
      <c r="II150" s="48"/>
      <c r="IJ150" s="48"/>
      <c r="IK150" s="48"/>
      <c r="IL150" s="48"/>
      <c r="IM150" s="48"/>
      <c r="IN150" s="48"/>
      <c r="IO150" s="48"/>
      <c r="IP150" s="48"/>
      <c r="IQ150" s="48"/>
      <c r="IR150" s="48"/>
      <c r="IS150" s="48"/>
      <c r="IT150" s="48"/>
    </row>
    <row r="151" spans="4:254" s="5" customFormat="1" ht="14.25" customHeight="1">
      <c r="D151" s="6"/>
      <c r="E151" s="41"/>
      <c r="F151" s="17"/>
      <c r="G151" s="6"/>
      <c r="H151" s="17"/>
      <c r="I151" s="41"/>
      <c r="J151" s="47"/>
      <c r="L151" s="47"/>
      <c r="M151" s="40"/>
      <c r="N151" s="47"/>
      <c r="P151" s="47"/>
      <c r="Q151" s="40"/>
      <c r="R151" s="47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  <c r="IB151" s="48"/>
      <c r="IC151" s="48"/>
      <c r="ID151" s="48"/>
      <c r="IE151" s="48"/>
      <c r="IF151" s="48"/>
      <c r="IG151" s="48"/>
      <c r="IH151" s="48"/>
      <c r="II151" s="48"/>
      <c r="IJ151" s="48"/>
      <c r="IK151" s="48"/>
      <c r="IL151" s="48"/>
      <c r="IM151" s="48"/>
      <c r="IN151" s="48"/>
      <c r="IO151" s="48"/>
      <c r="IP151" s="48"/>
      <c r="IQ151" s="48"/>
      <c r="IR151" s="48"/>
      <c r="IS151" s="48"/>
      <c r="IT151" s="48"/>
    </row>
    <row r="152" spans="1:254" s="112" customFormat="1" ht="14.25" customHeight="1">
      <c r="A152" s="57" t="s">
        <v>2</v>
      </c>
      <c r="B152" s="68"/>
      <c r="C152" s="71" t="s">
        <v>152</v>
      </c>
      <c r="D152" s="47"/>
      <c r="E152" s="100" t="s">
        <v>2</v>
      </c>
      <c r="F152" s="99"/>
      <c r="G152" s="30" t="s">
        <v>152</v>
      </c>
      <c r="H152" s="15"/>
      <c r="I152" s="57" t="s">
        <v>2</v>
      </c>
      <c r="J152" s="68"/>
      <c r="K152" s="71"/>
      <c r="L152" s="15"/>
      <c r="M152" s="33" t="s">
        <v>2</v>
      </c>
      <c r="N152" s="42"/>
      <c r="O152" s="34" t="s">
        <v>110</v>
      </c>
      <c r="P152" s="15"/>
      <c r="Q152" s="57" t="s">
        <v>2</v>
      </c>
      <c r="R152" s="68"/>
      <c r="S152" s="71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</row>
    <row r="153" spans="1:254" s="112" customFormat="1" ht="14.25" customHeight="1">
      <c r="A153" s="57" t="s">
        <v>5</v>
      </c>
      <c r="B153" s="68"/>
      <c r="C153" s="70" t="s">
        <v>153</v>
      </c>
      <c r="D153" s="47"/>
      <c r="E153" s="100" t="s">
        <v>5</v>
      </c>
      <c r="F153" s="99"/>
      <c r="G153" s="96" t="s">
        <v>153</v>
      </c>
      <c r="H153" s="15"/>
      <c r="I153" s="57" t="s">
        <v>5</v>
      </c>
      <c r="J153" s="68"/>
      <c r="K153" s="69" t="s">
        <v>154</v>
      </c>
      <c r="L153" s="15"/>
      <c r="M153" s="33" t="s">
        <v>5</v>
      </c>
      <c r="N153" s="43"/>
      <c r="O153" s="37" t="s">
        <v>154</v>
      </c>
      <c r="P153" s="15"/>
      <c r="Q153" s="57" t="s">
        <v>5</v>
      </c>
      <c r="R153" s="68"/>
      <c r="S153" s="70" t="s">
        <v>155</v>
      </c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</row>
    <row r="154" spans="1:254" s="112" customFormat="1" ht="14.25" customHeight="1">
      <c r="A154" s="57" t="s">
        <v>8</v>
      </c>
      <c r="B154" s="68"/>
      <c r="C154" s="69" t="s">
        <v>156</v>
      </c>
      <c r="D154" s="47"/>
      <c r="E154" s="100" t="s">
        <v>8</v>
      </c>
      <c r="F154" s="99"/>
      <c r="G154" s="95" t="s">
        <v>157</v>
      </c>
      <c r="H154" s="15"/>
      <c r="I154" s="57" t="s">
        <v>8</v>
      </c>
      <c r="J154" s="68"/>
      <c r="K154" s="70" t="s">
        <v>158</v>
      </c>
      <c r="L154" s="15"/>
      <c r="M154" s="33" t="s">
        <v>8</v>
      </c>
      <c r="N154" s="43"/>
      <c r="O154" s="37" t="s">
        <v>158</v>
      </c>
      <c r="P154" s="15"/>
      <c r="Q154" s="57" t="s">
        <v>8</v>
      </c>
      <c r="R154" s="68"/>
      <c r="S154" s="69" t="s">
        <v>159</v>
      </c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  <c r="HA154" s="48"/>
      <c r="HB154" s="48"/>
      <c r="HC154" s="48"/>
      <c r="HD154" s="48"/>
      <c r="HE154" s="48"/>
      <c r="HF154" s="48"/>
      <c r="HG154" s="48"/>
      <c r="HH154" s="48"/>
      <c r="HI154" s="48"/>
      <c r="HJ154" s="48"/>
      <c r="HK154" s="48"/>
      <c r="HL154" s="48"/>
      <c r="HM154" s="48"/>
      <c r="HN154" s="48"/>
      <c r="HO154" s="48"/>
      <c r="HP154" s="48"/>
      <c r="HQ154" s="48"/>
      <c r="HR154" s="48"/>
      <c r="HS154" s="48"/>
      <c r="HT154" s="48"/>
      <c r="HU154" s="48"/>
      <c r="HV154" s="48"/>
      <c r="HW154" s="48"/>
      <c r="HX154" s="48"/>
      <c r="HY154" s="48"/>
      <c r="HZ154" s="48"/>
      <c r="IA154" s="48"/>
      <c r="IB154" s="48"/>
      <c r="IC154" s="48"/>
      <c r="ID154" s="48"/>
      <c r="IE154" s="48"/>
      <c r="IF154" s="48"/>
      <c r="IG154" s="48"/>
      <c r="IH154" s="48"/>
      <c r="II154" s="48"/>
      <c r="IJ154" s="48"/>
      <c r="IK154" s="48"/>
      <c r="IL154" s="48"/>
      <c r="IM154" s="48"/>
      <c r="IN154" s="48"/>
      <c r="IO154" s="48"/>
      <c r="IP154" s="48"/>
      <c r="IQ154" s="48"/>
      <c r="IR154" s="48"/>
      <c r="IS154" s="48"/>
      <c r="IT154" s="48"/>
    </row>
    <row r="155" spans="1:254" s="112" customFormat="1" ht="14.25" customHeight="1">
      <c r="A155" s="57" t="s">
        <v>14</v>
      </c>
      <c r="B155" s="68"/>
      <c r="C155" s="67"/>
      <c r="D155" s="47"/>
      <c r="E155" s="100" t="s">
        <v>14</v>
      </c>
      <c r="F155" s="99"/>
      <c r="G155" s="30"/>
      <c r="H155" s="15"/>
      <c r="I155" s="57" t="s">
        <v>14</v>
      </c>
      <c r="J155" s="68"/>
      <c r="K155" s="67" t="s">
        <v>17</v>
      </c>
      <c r="L155" s="15"/>
      <c r="M155" s="33" t="s">
        <v>14</v>
      </c>
      <c r="N155" s="43"/>
      <c r="O155" s="38" t="s">
        <v>160</v>
      </c>
      <c r="P155" s="15"/>
      <c r="Q155" s="57" t="s">
        <v>14</v>
      </c>
      <c r="R155" s="68"/>
      <c r="S155" s="67" t="s">
        <v>17</v>
      </c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</row>
    <row r="156" spans="1:254" s="111" customFormat="1" ht="14.25" customHeight="1">
      <c r="A156" s="61" t="s">
        <v>20</v>
      </c>
      <c r="B156" s="61">
        <v>30</v>
      </c>
      <c r="C156" s="61">
        <f aca="true" t="shared" si="41" ref="C156:C162">B156/92.95*$C$163</f>
        <v>322.75416890801506</v>
      </c>
      <c r="D156" s="5"/>
      <c r="E156" s="104" t="s">
        <v>20</v>
      </c>
      <c r="F156" s="104">
        <v>32.3</v>
      </c>
      <c r="G156" s="92">
        <f aca="true" t="shared" si="42" ref="G156:G162">F156/104.8*$G$163</f>
        <v>308.206106870229</v>
      </c>
      <c r="H156" s="5"/>
      <c r="I156" s="61" t="s">
        <v>22</v>
      </c>
      <c r="J156" s="61">
        <v>52.4</v>
      </c>
      <c r="K156" s="61">
        <f aca="true" t="shared" si="43" ref="K156:K162">J156/80.7*$K$163</f>
        <v>649.3184634448575</v>
      </c>
      <c r="L156" s="5"/>
      <c r="M156" s="5" t="s">
        <v>22</v>
      </c>
      <c r="N156" s="32">
        <v>130</v>
      </c>
      <c r="O156" s="32">
        <f aca="true" t="shared" si="44" ref="O156:O163">N156/217.65*$O$164</f>
        <v>597.2892258212727</v>
      </c>
      <c r="P156" s="5"/>
      <c r="Q156" s="61" t="s">
        <v>26</v>
      </c>
      <c r="R156" s="61">
        <v>18</v>
      </c>
      <c r="S156" s="61">
        <f aca="true" t="shared" si="45" ref="S156:S164">R156/96*$S$165</f>
        <v>187.5</v>
      </c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</row>
    <row r="157" spans="1:254" s="111" customFormat="1" ht="14.25" customHeight="1">
      <c r="A157" s="61" t="s">
        <v>22</v>
      </c>
      <c r="B157" s="61">
        <v>37</v>
      </c>
      <c r="C157" s="61">
        <f t="shared" si="41"/>
        <v>398.0634749865519</v>
      </c>
      <c r="D157" s="5"/>
      <c r="E157" s="104" t="s">
        <v>22</v>
      </c>
      <c r="F157" s="104">
        <v>39.8</v>
      </c>
      <c r="G157" s="92">
        <f t="shared" si="42"/>
        <v>379.7709923664122</v>
      </c>
      <c r="H157" s="5"/>
      <c r="I157" s="61" t="s">
        <v>24</v>
      </c>
      <c r="J157" s="61">
        <v>8.2</v>
      </c>
      <c r="K157" s="61">
        <f t="shared" si="43"/>
        <v>101.61090458488226</v>
      </c>
      <c r="L157" s="5"/>
      <c r="M157" s="5" t="s">
        <v>23</v>
      </c>
      <c r="N157" s="32">
        <v>7</v>
      </c>
      <c r="O157" s="32">
        <f t="shared" si="44"/>
        <v>32.16172754422238</v>
      </c>
      <c r="P157" s="5"/>
      <c r="Q157" s="61" t="s">
        <v>25</v>
      </c>
      <c r="R157" s="61">
        <v>3.3</v>
      </c>
      <c r="S157" s="61">
        <f t="shared" si="45"/>
        <v>34.37499999999999</v>
      </c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8"/>
      <c r="HU157" s="48"/>
      <c r="HV157" s="48"/>
      <c r="HW157" s="48"/>
      <c r="HX157" s="48"/>
      <c r="HY157" s="48"/>
      <c r="HZ157" s="48"/>
      <c r="IA157" s="48"/>
      <c r="IB157" s="48"/>
      <c r="IC157" s="48"/>
      <c r="ID157" s="48"/>
      <c r="IE157" s="48"/>
      <c r="IF157" s="48"/>
      <c r="IG157" s="48"/>
      <c r="IH157" s="48"/>
      <c r="II157" s="48"/>
      <c r="IJ157" s="48"/>
      <c r="IK157" s="48"/>
      <c r="IL157" s="48"/>
      <c r="IM157" s="48"/>
      <c r="IN157" s="48"/>
      <c r="IO157" s="48"/>
      <c r="IP157" s="48"/>
      <c r="IQ157" s="48"/>
      <c r="IR157" s="48"/>
      <c r="IS157" s="48"/>
      <c r="IT157" s="48"/>
    </row>
    <row r="158" spans="1:254" s="111" customFormat="1" ht="14.25" customHeight="1">
      <c r="A158" s="61" t="s">
        <v>52</v>
      </c>
      <c r="B158" s="61">
        <v>16.3</v>
      </c>
      <c r="C158" s="61">
        <f t="shared" si="41"/>
        <v>175.3630984400215</v>
      </c>
      <c r="D158" s="5"/>
      <c r="E158" s="104" t="s">
        <v>52</v>
      </c>
      <c r="F158" s="104">
        <v>17.5</v>
      </c>
      <c r="G158" s="92">
        <f t="shared" si="42"/>
        <v>166.98473282442748</v>
      </c>
      <c r="H158" s="5"/>
      <c r="I158" s="61" t="s">
        <v>161</v>
      </c>
      <c r="J158" s="61">
        <v>1.2</v>
      </c>
      <c r="K158" s="61">
        <f t="shared" si="43"/>
        <v>14.869888475836431</v>
      </c>
      <c r="L158" s="5"/>
      <c r="M158" s="5" t="s">
        <v>24</v>
      </c>
      <c r="N158" s="32">
        <v>30</v>
      </c>
      <c r="O158" s="32">
        <f t="shared" si="44"/>
        <v>137.83597518952445</v>
      </c>
      <c r="P158" s="5"/>
      <c r="Q158" s="61" t="s">
        <v>44</v>
      </c>
      <c r="R158" s="61">
        <v>6.5</v>
      </c>
      <c r="S158" s="61">
        <f t="shared" si="45"/>
        <v>67.70833333333333</v>
      </c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8"/>
      <c r="HU158" s="48"/>
      <c r="HV158" s="48"/>
      <c r="HW158" s="48"/>
      <c r="HX158" s="48"/>
      <c r="HY158" s="48"/>
      <c r="HZ158" s="48"/>
      <c r="IA158" s="48"/>
      <c r="IB158" s="48"/>
      <c r="IC158" s="48"/>
      <c r="ID158" s="48"/>
      <c r="IE158" s="48"/>
      <c r="IF158" s="48"/>
      <c r="IG158" s="48"/>
      <c r="IH158" s="48"/>
      <c r="II158" s="48"/>
      <c r="IJ158" s="48"/>
      <c r="IK158" s="48"/>
      <c r="IL158" s="48"/>
      <c r="IM158" s="48"/>
      <c r="IN158" s="48"/>
      <c r="IO158" s="48"/>
      <c r="IP158" s="48"/>
      <c r="IQ158" s="48"/>
      <c r="IR158" s="48"/>
      <c r="IS158" s="48"/>
      <c r="IT158" s="48"/>
    </row>
    <row r="159" spans="1:254" s="111" customFormat="1" ht="14.25" customHeight="1">
      <c r="A159" s="61" t="s">
        <v>24</v>
      </c>
      <c r="B159" s="61">
        <v>2.9</v>
      </c>
      <c r="C159" s="61">
        <f t="shared" si="41"/>
        <v>31.199569661108118</v>
      </c>
      <c r="D159" s="5"/>
      <c r="E159" s="104" t="s">
        <v>24</v>
      </c>
      <c r="F159" s="104">
        <v>3.1</v>
      </c>
      <c r="G159" s="92">
        <f t="shared" si="42"/>
        <v>29.580152671755727</v>
      </c>
      <c r="H159" s="5"/>
      <c r="I159" s="61" t="s">
        <v>51</v>
      </c>
      <c r="J159" s="61">
        <v>7.5</v>
      </c>
      <c r="K159" s="61">
        <f t="shared" si="43"/>
        <v>92.93680297397769</v>
      </c>
      <c r="L159" s="5"/>
      <c r="M159" s="5" t="s">
        <v>26</v>
      </c>
      <c r="N159" s="32">
        <v>1.6</v>
      </c>
      <c r="O159" s="32">
        <f t="shared" si="44"/>
        <v>7.351252010107972</v>
      </c>
      <c r="P159" s="5"/>
      <c r="Q159" s="61" t="s">
        <v>23</v>
      </c>
      <c r="R159" s="61">
        <v>18</v>
      </c>
      <c r="S159" s="61">
        <f t="shared" si="45"/>
        <v>187.5</v>
      </c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  <c r="IM159" s="48"/>
      <c r="IN159" s="48"/>
      <c r="IO159" s="48"/>
      <c r="IP159" s="48"/>
      <c r="IQ159" s="48"/>
      <c r="IR159" s="48"/>
      <c r="IS159" s="48"/>
      <c r="IT159" s="48"/>
    </row>
    <row r="160" spans="1:254" s="111" customFormat="1" ht="14.25" customHeight="1">
      <c r="A160" s="61" t="s">
        <v>33</v>
      </c>
      <c r="B160" s="61">
        <v>2.6</v>
      </c>
      <c r="C160" s="61">
        <f t="shared" si="41"/>
        <v>27.972027972027973</v>
      </c>
      <c r="D160" s="5"/>
      <c r="E160" s="104" t="s">
        <v>33</v>
      </c>
      <c r="F160" s="104">
        <v>4.5</v>
      </c>
      <c r="G160" s="92">
        <f t="shared" si="42"/>
        <v>42.93893129770993</v>
      </c>
      <c r="H160" s="5"/>
      <c r="I160" s="61" t="s">
        <v>23</v>
      </c>
      <c r="J160" s="61">
        <v>2</v>
      </c>
      <c r="K160" s="61">
        <f t="shared" si="43"/>
        <v>24.783147459727385</v>
      </c>
      <c r="L160" s="5"/>
      <c r="M160" s="5" t="s">
        <v>29</v>
      </c>
      <c r="N160" s="32">
        <v>1.85</v>
      </c>
      <c r="O160" s="32">
        <f t="shared" si="44"/>
        <v>8.499885136687343</v>
      </c>
      <c r="P160" s="5"/>
      <c r="Q160" s="61" t="s">
        <v>46</v>
      </c>
      <c r="R160" s="61">
        <v>30</v>
      </c>
      <c r="S160" s="61">
        <f t="shared" si="45"/>
        <v>312.5</v>
      </c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48"/>
      <c r="HV160" s="48"/>
      <c r="HW160" s="48"/>
      <c r="HX160" s="48"/>
      <c r="HY160" s="48"/>
      <c r="HZ160" s="48"/>
      <c r="IA160" s="48"/>
      <c r="IB160" s="48"/>
      <c r="IC160" s="48"/>
      <c r="ID160" s="48"/>
      <c r="IE160" s="48"/>
      <c r="IF160" s="48"/>
      <c r="IG160" s="48"/>
      <c r="IH160" s="48"/>
      <c r="II160" s="48"/>
      <c r="IJ160" s="48"/>
      <c r="IK160" s="48"/>
      <c r="IL160" s="48"/>
      <c r="IM160" s="48"/>
      <c r="IN160" s="48"/>
      <c r="IO160" s="48"/>
      <c r="IP160" s="48"/>
      <c r="IQ160" s="48"/>
      <c r="IR160" s="48"/>
      <c r="IS160" s="48"/>
      <c r="IT160" s="48"/>
    </row>
    <row r="161" spans="1:254" s="111" customFormat="1" ht="14.25" customHeight="1">
      <c r="A161" s="61" t="s">
        <v>23</v>
      </c>
      <c r="B161" s="61">
        <v>0.15</v>
      </c>
      <c r="C161" s="61">
        <f t="shared" si="41"/>
        <v>1.6137708445400754</v>
      </c>
      <c r="D161" s="5"/>
      <c r="E161" s="104" t="s">
        <v>23</v>
      </c>
      <c r="F161" s="104">
        <v>0.2</v>
      </c>
      <c r="G161" s="92">
        <f t="shared" si="42"/>
        <v>1.9083969465648856</v>
      </c>
      <c r="H161" s="5"/>
      <c r="I161" s="61" t="s">
        <v>32</v>
      </c>
      <c r="J161" s="61">
        <v>1.9</v>
      </c>
      <c r="K161" s="61">
        <f t="shared" si="43"/>
        <v>23.543990086741015</v>
      </c>
      <c r="L161" s="5"/>
      <c r="M161" s="5" t="s">
        <v>32</v>
      </c>
      <c r="N161" s="32">
        <v>0.2</v>
      </c>
      <c r="O161" s="32">
        <f t="shared" si="44"/>
        <v>0.9189065012634965</v>
      </c>
      <c r="P161" s="5"/>
      <c r="Q161" s="61" t="s">
        <v>48</v>
      </c>
      <c r="R161" s="61">
        <v>18</v>
      </c>
      <c r="S161" s="61">
        <f t="shared" si="45"/>
        <v>187.5</v>
      </c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</row>
    <row r="162" spans="1:254" s="111" customFormat="1" ht="14.25" customHeight="1">
      <c r="A162" s="61" t="s">
        <v>28</v>
      </c>
      <c r="B162" s="61">
        <v>4</v>
      </c>
      <c r="C162" s="61">
        <f t="shared" si="41"/>
        <v>43.03388918773534</v>
      </c>
      <c r="D162" s="5"/>
      <c r="E162" s="104" t="s">
        <v>28</v>
      </c>
      <c r="F162" s="104">
        <v>7.4</v>
      </c>
      <c r="G162" s="92">
        <f t="shared" si="42"/>
        <v>70.61068702290078</v>
      </c>
      <c r="H162" s="5"/>
      <c r="I162" s="61" t="s">
        <v>28</v>
      </c>
      <c r="J162" s="61">
        <v>7.5</v>
      </c>
      <c r="K162" s="61">
        <f t="shared" si="43"/>
        <v>92.93680297397769</v>
      </c>
      <c r="L162" s="5"/>
      <c r="M162" s="5" t="s">
        <v>45</v>
      </c>
      <c r="N162" s="32">
        <v>27</v>
      </c>
      <c r="O162" s="32">
        <f t="shared" si="44"/>
        <v>124.05237767057201</v>
      </c>
      <c r="P162" s="5"/>
      <c r="Q162" s="61" t="s">
        <v>143</v>
      </c>
      <c r="R162" s="61">
        <v>0.6</v>
      </c>
      <c r="S162" s="61">
        <f t="shared" si="45"/>
        <v>6.249999999999999</v>
      </c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  <c r="IP162" s="48"/>
      <c r="IQ162" s="48"/>
      <c r="IR162" s="48"/>
      <c r="IS162" s="48"/>
      <c r="IT162" s="48"/>
    </row>
    <row r="163" spans="1:254" s="111" customFormat="1" ht="14.25" customHeight="1">
      <c r="A163" s="67" t="s">
        <v>30</v>
      </c>
      <c r="B163" s="67"/>
      <c r="C163" s="91">
        <v>1000</v>
      </c>
      <c r="D163" s="67"/>
      <c r="E163" s="91" t="s">
        <v>30</v>
      </c>
      <c r="F163" s="67"/>
      <c r="G163" s="91">
        <v>1000</v>
      </c>
      <c r="H163" s="5"/>
      <c r="I163" s="67" t="s">
        <v>30</v>
      </c>
      <c r="J163" s="67"/>
      <c r="K163" s="91">
        <v>1000</v>
      </c>
      <c r="L163" s="5"/>
      <c r="M163" s="5" t="s">
        <v>28</v>
      </c>
      <c r="N163" s="32">
        <v>20</v>
      </c>
      <c r="O163" s="32">
        <f t="shared" si="44"/>
        <v>91.89065012634964</v>
      </c>
      <c r="P163" s="5"/>
      <c r="Q163" s="61" t="s">
        <v>51</v>
      </c>
      <c r="R163" s="61">
        <v>0.1</v>
      </c>
      <c r="S163" s="61">
        <f t="shared" si="45"/>
        <v>1.0416666666666667</v>
      </c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  <c r="HA163" s="48"/>
      <c r="HB163" s="48"/>
      <c r="HC163" s="48"/>
      <c r="HD163" s="48"/>
      <c r="HE163" s="48"/>
      <c r="HF163" s="48"/>
      <c r="HG163" s="48"/>
      <c r="HH163" s="48"/>
      <c r="HI163" s="48"/>
      <c r="HJ163" s="48"/>
      <c r="HK163" s="48"/>
      <c r="HL163" s="48"/>
      <c r="HM163" s="48"/>
      <c r="HN163" s="48"/>
      <c r="HO163" s="48"/>
      <c r="HP163" s="48"/>
      <c r="HQ163" s="48"/>
      <c r="HR163" s="48"/>
      <c r="HS163" s="48"/>
      <c r="HT163" s="48"/>
      <c r="HU163" s="48"/>
      <c r="HV163" s="48"/>
      <c r="HW163" s="48"/>
      <c r="HX163" s="48"/>
      <c r="HY163" s="48"/>
      <c r="HZ163" s="48"/>
      <c r="IA163" s="48"/>
      <c r="IB163" s="48"/>
      <c r="IC163" s="48"/>
      <c r="ID163" s="48"/>
      <c r="IE163" s="48"/>
      <c r="IF163" s="48"/>
      <c r="IG163" s="48"/>
      <c r="IH163" s="48"/>
      <c r="II163" s="48"/>
      <c r="IJ163" s="48"/>
      <c r="IK163" s="48"/>
      <c r="IL163" s="48"/>
      <c r="IM163" s="48"/>
      <c r="IN163" s="48"/>
      <c r="IO163" s="48"/>
      <c r="IP163" s="48"/>
      <c r="IQ163" s="48"/>
      <c r="IR163" s="48"/>
      <c r="IS163" s="48"/>
      <c r="IT163" s="48"/>
    </row>
    <row r="164" spans="1:254" s="111" customFormat="1" ht="14.25" customHeight="1">
      <c r="A164" s="5"/>
      <c r="B164" s="6"/>
      <c r="C164" s="6"/>
      <c r="D164" s="5"/>
      <c r="E164" s="103"/>
      <c r="F164" s="103"/>
      <c r="G164" s="61"/>
      <c r="H164" s="5"/>
      <c r="I164" s="5"/>
      <c r="J164" s="5"/>
      <c r="K164" s="5"/>
      <c r="L164" s="5"/>
      <c r="M164" s="8" t="s">
        <v>30</v>
      </c>
      <c r="N164" s="32"/>
      <c r="O164" s="30">
        <v>1000</v>
      </c>
      <c r="P164" s="5"/>
      <c r="Q164" s="61" t="s">
        <v>28</v>
      </c>
      <c r="R164" s="61">
        <v>1.5</v>
      </c>
      <c r="S164" s="61">
        <f t="shared" si="45"/>
        <v>15.625</v>
      </c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  <c r="IT164" s="48"/>
    </row>
    <row r="165" spans="1:254" s="111" customFormat="1" ht="9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7" t="s">
        <v>30</v>
      </c>
      <c r="R165" s="67"/>
      <c r="S165" s="91">
        <v>1000</v>
      </c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48"/>
      <c r="IN165" s="48"/>
      <c r="IO165" s="48"/>
      <c r="IP165" s="48"/>
      <c r="IQ165" s="48"/>
      <c r="IR165" s="48"/>
      <c r="IS165" s="48"/>
      <c r="IT165" s="48"/>
    </row>
    <row r="166" spans="1:254" s="111" customFormat="1" ht="14.25" customHeight="1">
      <c r="A166" s="8"/>
      <c r="B166" s="5"/>
      <c r="C166" s="30"/>
      <c r="D166" s="6"/>
      <c r="E166" s="6"/>
      <c r="F166" s="6"/>
      <c r="G166" s="6"/>
      <c r="H166" s="6"/>
      <c r="I166" s="6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  <c r="IS166" s="48"/>
      <c r="IT166" s="48"/>
    </row>
    <row r="167" spans="1:254" s="112" customFormat="1" ht="12">
      <c r="A167" s="11" t="s">
        <v>2</v>
      </c>
      <c r="B167" s="12"/>
      <c r="C167" s="9" t="s">
        <v>162</v>
      </c>
      <c r="D167" s="13"/>
      <c r="E167" s="57" t="s">
        <v>2</v>
      </c>
      <c r="F167" s="68"/>
      <c r="G167" s="71"/>
      <c r="H167" s="14"/>
      <c r="I167" s="11" t="s">
        <v>2</v>
      </c>
      <c r="J167" s="12"/>
      <c r="K167" s="9" t="s">
        <v>163</v>
      </c>
      <c r="L167" s="47"/>
      <c r="M167" s="11" t="s">
        <v>2</v>
      </c>
      <c r="N167" s="12"/>
      <c r="O167" s="9" t="s">
        <v>162</v>
      </c>
      <c r="P167" s="47"/>
      <c r="Q167" s="11" t="s">
        <v>2</v>
      </c>
      <c r="R167" s="12"/>
      <c r="S167" s="9" t="s">
        <v>162</v>
      </c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  <c r="IS167" s="48"/>
      <c r="IT167" s="48"/>
    </row>
    <row r="168" spans="1:254" s="112" customFormat="1" ht="12">
      <c r="A168" s="11" t="s">
        <v>5</v>
      </c>
      <c r="B168" s="12"/>
      <c r="C168" s="49" t="s">
        <v>155</v>
      </c>
      <c r="D168" s="13"/>
      <c r="E168" s="57" t="s">
        <v>5</v>
      </c>
      <c r="F168" s="68"/>
      <c r="G168" s="70" t="s">
        <v>164</v>
      </c>
      <c r="H168" s="13"/>
      <c r="I168" s="11" t="s">
        <v>5</v>
      </c>
      <c r="J168" s="12"/>
      <c r="K168" s="16" t="s">
        <v>164</v>
      </c>
      <c r="L168" s="47"/>
      <c r="M168" s="11" t="s">
        <v>5</v>
      </c>
      <c r="N168" s="12"/>
      <c r="O168" s="16" t="s">
        <v>123</v>
      </c>
      <c r="P168" s="47"/>
      <c r="Q168" s="11" t="s">
        <v>5</v>
      </c>
      <c r="R168" s="12"/>
      <c r="S168" s="16" t="s">
        <v>165</v>
      </c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  <c r="IT168" s="48"/>
    </row>
    <row r="169" spans="1:254" s="112" customFormat="1" ht="12">
      <c r="A169" s="11" t="s">
        <v>8</v>
      </c>
      <c r="B169" s="12"/>
      <c r="C169" s="16" t="s">
        <v>166</v>
      </c>
      <c r="D169" s="17"/>
      <c r="E169" s="57" t="s">
        <v>8</v>
      </c>
      <c r="F169" s="68"/>
      <c r="G169" s="69" t="s">
        <v>167</v>
      </c>
      <c r="H169" s="13"/>
      <c r="I169" s="11" t="s">
        <v>8</v>
      </c>
      <c r="J169" s="12"/>
      <c r="K169" s="16" t="s">
        <v>167</v>
      </c>
      <c r="L169" s="47"/>
      <c r="M169" s="11" t="s">
        <v>8</v>
      </c>
      <c r="N169" s="12"/>
      <c r="O169" s="16" t="s">
        <v>168</v>
      </c>
      <c r="P169" s="47"/>
      <c r="Q169" s="11" t="s">
        <v>8</v>
      </c>
      <c r="R169" s="12"/>
      <c r="S169" s="16" t="s">
        <v>169</v>
      </c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48"/>
      <c r="HZ169" s="48"/>
      <c r="IA169" s="48"/>
      <c r="IB169" s="48"/>
      <c r="IC169" s="48"/>
      <c r="ID169" s="48"/>
      <c r="IE169" s="48"/>
      <c r="IF169" s="48"/>
      <c r="IG169" s="48"/>
      <c r="IH169" s="48"/>
      <c r="II169" s="48"/>
      <c r="IJ169" s="48"/>
      <c r="IK169" s="48"/>
      <c r="IL169" s="48"/>
      <c r="IM169" s="48"/>
      <c r="IN169" s="48"/>
      <c r="IO169" s="48"/>
      <c r="IP169" s="48"/>
      <c r="IQ169" s="48"/>
      <c r="IR169" s="48"/>
      <c r="IS169" s="48"/>
      <c r="IT169" s="48"/>
    </row>
    <row r="170" spans="1:254" s="112" customFormat="1" ht="12">
      <c r="A170" s="11" t="s">
        <v>14</v>
      </c>
      <c r="B170" s="12"/>
      <c r="C170" s="9"/>
      <c r="D170" s="13"/>
      <c r="E170" s="57" t="s">
        <v>14</v>
      </c>
      <c r="F170" s="68"/>
      <c r="G170" s="67" t="s">
        <v>17</v>
      </c>
      <c r="H170" s="13"/>
      <c r="I170" s="11" t="s">
        <v>14</v>
      </c>
      <c r="J170" s="12"/>
      <c r="K170" s="8" t="s">
        <v>42</v>
      </c>
      <c r="L170" s="47"/>
      <c r="M170" s="11" t="s">
        <v>14</v>
      </c>
      <c r="N170" s="12"/>
      <c r="O170" s="9" t="s">
        <v>42</v>
      </c>
      <c r="P170" s="47"/>
      <c r="Q170" s="11" t="s">
        <v>14</v>
      </c>
      <c r="R170" s="12"/>
      <c r="S170" s="9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  <c r="IK170" s="48"/>
      <c r="IL170" s="48"/>
      <c r="IM170" s="48"/>
      <c r="IN170" s="48"/>
      <c r="IO170" s="48"/>
      <c r="IP170" s="48"/>
      <c r="IQ170" s="48"/>
      <c r="IR170" s="48"/>
      <c r="IS170" s="48"/>
      <c r="IT170" s="48"/>
    </row>
    <row r="171" spans="1:254" s="111" customFormat="1" ht="14.25" customHeight="1">
      <c r="A171" s="6" t="s">
        <v>26</v>
      </c>
      <c r="B171" s="6">
        <v>17</v>
      </c>
      <c r="C171" s="32">
        <f aca="true" t="shared" si="46" ref="C171:C178">B171/83.8*$C$179</f>
        <v>202.8639618138425</v>
      </c>
      <c r="D171" s="6"/>
      <c r="E171" s="61" t="s">
        <v>26</v>
      </c>
      <c r="F171" s="61">
        <v>18.6</v>
      </c>
      <c r="G171" s="61">
        <f aca="true" t="shared" si="47" ref="G171:G176">F171/94.8*$G$177</f>
        <v>29.430379746835445</v>
      </c>
      <c r="H171" s="16"/>
      <c r="I171" s="6" t="s">
        <v>46</v>
      </c>
      <c r="J171" s="32">
        <v>190</v>
      </c>
      <c r="K171" s="32">
        <f aca="true" t="shared" si="48" ref="K171:K177">J171/791*$K$178</f>
        <v>240.2022756005057</v>
      </c>
      <c r="L171" s="5"/>
      <c r="M171" s="22" t="s">
        <v>19</v>
      </c>
      <c r="N171" s="22">
        <v>200</v>
      </c>
      <c r="O171" s="32">
        <f aca="true" t="shared" si="49" ref="O171:O176">N171/741.1*$O$177</f>
        <v>269.8691134799622</v>
      </c>
      <c r="P171" s="5"/>
      <c r="Q171" s="50" t="s">
        <v>170</v>
      </c>
      <c r="R171" s="50">
        <v>40</v>
      </c>
      <c r="S171" s="32">
        <f>R171/108.9*$S$175</f>
        <v>367.3094582185491</v>
      </c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48"/>
      <c r="HZ171" s="48"/>
      <c r="IA171" s="48"/>
      <c r="IB171" s="48"/>
      <c r="IC171" s="48"/>
      <c r="ID171" s="48"/>
      <c r="IE171" s="48"/>
      <c r="IF171" s="48"/>
      <c r="IG171" s="48"/>
      <c r="IH171" s="48"/>
      <c r="II171" s="48"/>
      <c r="IJ171" s="48"/>
      <c r="IK171" s="48"/>
      <c r="IL171" s="48"/>
      <c r="IM171" s="48"/>
      <c r="IN171" s="48"/>
      <c r="IO171" s="48"/>
      <c r="IP171" s="48"/>
      <c r="IQ171" s="48"/>
      <c r="IR171" s="48"/>
      <c r="IS171" s="48"/>
      <c r="IT171" s="48"/>
    </row>
    <row r="172" spans="1:254" s="111" customFormat="1" ht="14.25" customHeight="1">
      <c r="A172" s="6" t="s">
        <v>25</v>
      </c>
      <c r="B172" s="6">
        <v>3.3</v>
      </c>
      <c r="C172" s="32">
        <f t="shared" si="46"/>
        <v>39.37947494033413</v>
      </c>
      <c r="D172" s="6"/>
      <c r="E172" s="61" t="s">
        <v>44</v>
      </c>
      <c r="F172" s="61">
        <v>14.5</v>
      </c>
      <c r="G172" s="61">
        <f t="shared" si="47"/>
        <v>22.94303797468354</v>
      </c>
      <c r="H172" s="5"/>
      <c r="I172" s="6" t="s">
        <v>26</v>
      </c>
      <c r="J172" s="6">
        <v>405</v>
      </c>
      <c r="K172" s="32">
        <f t="shared" si="48"/>
        <v>512.0101137800252</v>
      </c>
      <c r="L172" s="5"/>
      <c r="M172" s="50" t="s">
        <v>22</v>
      </c>
      <c r="N172" s="50">
        <v>500</v>
      </c>
      <c r="O172" s="32">
        <f t="shared" si="49"/>
        <v>674.6727836999056</v>
      </c>
      <c r="P172" s="5"/>
      <c r="Q172" s="50" t="s">
        <v>82</v>
      </c>
      <c r="R172" s="50">
        <v>50</v>
      </c>
      <c r="S172" s="32">
        <f>R172/108.9*$S$175</f>
        <v>459.1368227731864</v>
      </c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</row>
    <row r="173" spans="1:254" s="111" customFormat="1" ht="14.25" customHeight="1">
      <c r="A173" s="6" t="s">
        <v>44</v>
      </c>
      <c r="B173" s="6">
        <v>9</v>
      </c>
      <c r="C173" s="32">
        <f t="shared" si="46"/>
        <v>107.39856801909309</v>
      </c>
      <c r="D173" s="6"/>
      <c r="E173" s="61" t="s">
        <v>46</v>
      </c>
      <c r="F173" s="61">
        <v>52</v>
      </c>
      <c r="G173" s="61">
        <f t="shared" si="47"/>
        <v>82.27848101265822</v>
      </c>
      <c r="H173" s="5"/>
      <c r="I173" s="6" t="s">
        <v>27</v>
      </c>
      <c r="J173" s="6">
        <v>28</v>
      </c>
      <c r="K173" s="32">
        <f t="shared" si="48"/>
        <v>35.39823008849557</v>
      </c>
      <c r="L173" s="5"/>
      <c r="M173" s="50" t="s">
        <v>28</v>
      </c>
      <c r="N173" s="50">
        <v>40</v>
      </c>
      <c r="O173" s="32">
        <f t="shared" si="49"/>
        <v>53.97382269599244</v>
      </c>
      <c r="P173" s="5"/>
      <c r="Q173" s="50" t="s">
        <v>83</v>
      </c>
      <c r="R173" s="50">
        <v>18</v>
      </c>
      <c r="S173" s="32">
        <f>R173/108.9*$S$175</f>
        <v>165.28925619834712</v>
      </c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  <c r="IS173" s="48"/>
      <c r="IT173" s="48"/>
    </row>
    <row r="174" spans="1:254" s="111" customFormat="1" ht="14.25" customHeight="1">
      <c r="A174" s="6" t="s">
        <v>23</v>
      </c>
      <c r="B174" s="6">
        <v>13.5</v>
      </c>
      <c r="C174" s="32">
        <f t="shared" si="46"/>
        <v>161.09785202863964</v>
      </c>
      <c r="D174" s="6"/>
      <c r="E174" s="61" t="s">
        <v>23</v>
      </c>
      <c r="F174" s="61">
        <v>7.5</v>
      </c>
      <c r="G174" s="61">
        <f t="shared" si="47"/>
        <v>11.867088607594937</v>
      </c>
      <c r="H174" s="5"/>
      <c r="I174" s="6" t="s">
        <v>141</v>
      </c>
      <c r="J174" s="6">
        <v>40</v>
      </c>
      <c r="K174" s="32">
        <f t="shared" si="48"/>
        <v>50.56890012642225</v>
      </c>
      <c r="L174" s="5"/>
      <c r="M174" s="50" t="s">
        <v>24</v>
      </c>
      <c r="N174" s="50">
        <v>0.5</v>
      </c>
      <c r="O174" s="32">
        <f t="shared" si="49"/>
        <v>0.6746727836999055</v>
      </c>
      <c r="P174" s="5"/>
      <c r="Q174" s="50" t="s">
        <v>84</v>
      </c>
      <c r="R174" s="50">
        <v>0.9</v>
      </c>
      <c r="S174" s="32">
        <f>R174/108.9*$S$175</f>
        <v>8.264462809917356</v>
      </c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  <c r="IK174" s="48"/>
      <c r="IL174" s="48"/>
      <c r="IM174" s="48"/>
      <c r="IN174" s="48"/>
      <c r="IO174" s="48"/>
      <c r="IP174" s="48"/>
      <c r="IQ174" s="48"/>
      <c r="IR174" s="48"/>
      <c r="IS174" s="48"/>
      <c r="IT174" s="48"/>
    </row>
    <row r="175" spans="1:254" s="111" customFormat="1" ht="14.25" customHeight="1">
      <c r="A175" s="6" t="s">
        <v>143</v>
      </c>
      <c r="B175" s="6">
        <v>0.4</v>
      </c>
      <c r="C175" s="32">
        <f t="shared" si="46"/>
        <v>4.773269689737471</v>
      </c>
      <c r="D175" s="6"/>
      <c r="E175" s="61" t="s">
        <v>27</v>
      </c>
      <c r="F175" s="61">
        <v>0.2</v>
      </c>
      <c r="G175" s="61">
        <f t="shared" si="47"/>
        <v>0.31645569620253167</v>
      </c>
      <c r="H175" s="5"/>
      <c r="I175" s="6" t="s">
        <v>23</v>
      </c>
      <c r="J175" s="6">
        <v>51</v>
      </c>
      <c r="K175" s="32">
        <f t="shared" si="48"/>
        <v>64.47534766118837</v>
      </c>
      <c r="L175" s="5"/>
      <c r="M175" s="50" t="s">
        <v>26</v>
      </c>
      <c r="N175" s="50">
        <v>0.1</v>
      </c>
      <c r="O175" s="32">
        <f t="shared" si="49"/>
        <v>0.13493455673998112</v>
      </c>
      <c r="P175" s="5"/>
      <c r="Q175" s="8" t="s">
        <v>30</v>
      </c>
      <c r="R175" s="5"/>
      <c r="S175" s="30">
        <v>1000</v>
      </c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8"/>
      <c r="IL175" s="48"/>
      <c r="IM175" s="48"/>
      <c r="IN175" s="48"/>
      <c r="IO175" s="48"/>
      <c r="IP175" s="48"/>
      <c r="IQ175" s="48"/>
      <c r="IR175" s="48"/>
      <c r="IS175" s="48"/>
      <c r="IT175" s="48"/>
    </row>
    <row r="176" spans="1:254" s="111" customFormat="1" ht="14.25" customHeight="1">
      <c r="A176" s="6" t="s">
        <v>46</v>
      </c>
      <c r="B176" s="6">
        <v>32.4</v>
      </c>
      <c r="C176" s="32">
        <f t="shared" si="46"/>
        <v>386.63484486873506</v>
      </c>
      <c r="D176" s="6"/>
      <c r="E176" s="61" t="s">
        <v>28</v>
      </c>
      <c r="F176" s="61">
        <v>2</v>
      </c>
      <c r="G176" s="61">
        <f t="shared" si="47"/>
        <v>3.1645569620253164</v>
      </c>
      <c r="H176" s="6"/>
      <c r="I176" s="6" t="s">
        <v>48</v>
      </c>
      <c r="J176" s="6">
        <v>75</v>
      </c>
      <c r="K176" s="32">
        <f t="shared" si="48"/>
        <v>94.81668773704172</v>
      </c>
      <c r="L176" s="5"/>
      <c r="M176" s="50" t="s">
        <v>29</v>
      </c>
      <c r="N176" s="50">
        <v>0.5</v>
      </c>
      <c r="O176" s="32">
        <f t="shared" si="49"/>
        <v>0.6746727836999055</v>
      </c>
      <c r="P176" s="5"/>
      <c r="Q176" s="5"/>
      <c r="R176" s="5"/>
      <c r="S176" s="5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  <c r="IK176" s="48"/>
      <c r="IL176" s="48"/>
      <c r="IM176" s="48"/>
      <c r="IN176" s="48"/>
      <c r="IO176" s="48"/>
      <c r="IP176" s="48"/>
      <c r="IQ176" s="48"/>
      <c r="IR176" s="48"/>
      <c r="IS176" s="48"/>
      <c r="IT176" s="48"/>
    </row>
    <row r="177" spans="1:254" s="111" customFormat="1" ht="14.25" customHeight="1">
      <c r="A177" s="6" t="s">
        <v>48</v>
      </c>
      <c r="B177" s="6">
        <v>8.2</v>
      </c>
      <c r="C177" s="32">
        <f t="shared" si="46"/>
        <v>97.85202863961813</v>
      </c>
      <c r="D177" s="6"/>
      <c r="E177" s="61" t="s">
        <v>30</v>
      </c>
      <c r="F177" s="61"/>
      <c r="G177" s="61">
        <v>150</v>
      </c>
      <c r="H177" s="6"/>
      <c r="I177" s="6" t="s">
        <v>51</v>
      </c>
      <c r="J177" s="6">
        <v>2</v>
      </c>
      <c r="K177" s="32">
        <f t="shared" si="48"/>
        <v>2.5284450063211126</v>
      </c>
      <c r="L177" s="5"/>
      <c r="M177" s="8" t="s">
        <v>30</v>
      </c>
      <c r="N177" s="5"/>
      <c r="O177" s="30">
        <v>1000</v>
      </c>
      <c r="P177" s="5"/>
      <c r="Q177" s="5"/>
      <c r="R177" s="5"/>
      <c r="S177" s="5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  <c r="IK177" s="48"/>
      <c r="IL177" s="48"/>
      <c r="IM177" s="48"/>
      <c r="IN177" s="48"/>
      <c r="IO177" s="48"/>
      <c r="IP177" s="48"/>
      <c r="IQ177" s="48"/>
      <c r="IR177" s="48"/>
      <c r="IS177" s="48"/>
      <c r="IT177" s="48"/>
    </row>
    <row r="178" spans="1:254" s="111" customFormat="1" ht="14.25" customHeight="1">
      <c r="A178" s="6" t="s">
        <v>32</v>
      </c>
      <c r="B178" s="6">
        <v>0.5</v>
      </c>
      <c r="C178" s="32">
        <f t="shared" si="46"/>
        <v>5.966587112171838</v>
      </c>
      <c r="D178" s="6"/>
      <c r="E178" s="6"/>
      <c r="F178" s="6"/>
      <c r="G178" s="6"/>
      <c r="H178" s="6"/>
      <c r="I178" s="8" t="s">
        <v>30</v>
      </c>
      <c r="J178" s="6"/>
      <c r="K178" s="30">
        <v>1000</v>
      </c>
      <c r="L178" s="5"/>
      <c r="M178" s="5"/>
      <c r="N178" s="5"/>
      <c r="O178" s="5"/>
      <c r="P178" s="5"/>
      <c r="Q178" s="5"/>
      <c r="R178" s="5"/>
      <c r="S178" s="5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48"/>
    </row>
    <row r="179" spans="1:254" s="111" customFormat="1" ht="14.25" customHeight="1">
      <c r="A179" s="8" t="s">
        <v>30</v>
      </c>
      <c r="B179" s="6"/>
      <c r="C179" s="30">
        <v>1000</v>
      </c>
      <c r="D179" s="6"/>
      <c r="E179" s="6"/>
      <c r="F179" s="6"/>
      <c r="G179" s="6"/>
      <c r="H179" s="6"/>
      <c r="I179" s="6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  <c r="IP179" s="48"/>
      <c r="IQ179" s="48"/>
      <c r="IR179" s="48"/>
      <c r="IS179" s="48"/>
      <c r="IT179" s="48"/>
    </row>
    <row r="180" spans="1:19" ht="36" customHeight="1">
      <c r="A180" s="119" t="s">
        <v>88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</row>
    <row r="181" spans="1:19" ht="15" customHeight="1">
      <c r="A181" s="121" t="s">
        <v>0</v>
      </c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1:19" ht="15" customHeight="1">
      <c r="A182" s="122" t="s">
        <v>1</v>
      </c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</row>
    <row r="183" spans="1:19" ht="19.5" customHeight="1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</row>
    <row r="184" spans="1:254" s="47" customFormat="1" ht="14.25" customHeight="1">
      <c r="A184" s="57" t="s">
        <v>2</v>
      </c>
      <c r="B184" s="68"/>
      <c r="C184" s="71"/>
      <c r="D184" s="14"/>
      <c r="E184" s="11" t="s">
        <v>2</v>
      </c>
      <c r="F184" s="12"/>
      <c r="G184" s="9" t="s">
        <v>162</v>
      </c>
      <c r="H184" s="14"/>
      <c r="I184" s="57" t="s">
        <v>2</v>
      </c>
      <c r="J184" s="65"/>
      <c r="K184" s="71"/>
      <c r="L184" s="14"/>
      <c r="M184" s="11" t="s">
        <v>2</v>
      </c>
      <c r="N184" s="12"/>
      <c r="O184" s="9" t="s">
        <v>171</v>
      </c>
      <c r="Q184" s="11" t="s">
        <v>2</v>
      </c>
      <c r="R184" s="12"/>
      <c r="S184" s="9" t="s">
        <v>171</v>
      </c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  <c r="IK184" s="48"/>
      <c r="IL184" s="48"/>
      <c r="IM184" s="48"/>
      <c r="IN184" s="48"/>
      <c r="IO184" s="48"/>
      <c r="IP184" s="48"/>
      <c r="IQ184" s="48"/>
      <c r="IR184" s="48"/>
      <c r="IS184" s="48"/>
      <c r="IT184" s="48"/>
    </row>
    <row r="185" spans="1:254" s="47" customFormat="1" ht="14.25" customHeight="1">
      <c r="A185" s="57" t="s">
        <v>5</v>
      </c>
      <c r="B185" s="68"/>
      <c r="C185" s="70" t="s">
        <v>165</v>
      </c>
      <c r="D185" s="13"/>
      <c r="E185" s="11" t="s">
        <v>5</v>
      </c>
      <c r="F185" s="12"/>
      <c r="G185" s="16" t="s">
        <v>172</v>
      </c>
      <c r="H185" s="13"/>
      <c r="I185" s="57" t="s">
        <v>5</v>
      </c>
      <c r="J185" s="65"/>
      <c r="K185" s="70" t="s">
        <v>172</v>
      </c>
      <c r="L185" s="15"/>
      <c r="M185" s="11" t="s">
        <v>5</v>
      </c>
      <c r="N185" s="12"/>
      <c r="O185" s="46"/>
      <c r="Q185" s="11" t="s">
        <v>5</v>
      </c>
      <c r="R185" s="12"/>
      <c r="S185" s="16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8"/>
      <c r="IL185" s="48"/>
      <c r="IM185" s="48"/>
      <c r="IN185" s="48"/>
      <c r="IO185" s="48"/>
      <c r="IP185" s="48"/>
      <c r="IQ185" s="48"/>
      <c r="IR185" s="48"/>
      <c r="IS185" s="48"/>
      <c r="IT185" s="48"/>
    </row>
    <row r="186" spans="1:254" s="47" customFormat="1" ht="14.25" customHeight="1">
      <c r="A186" s="57" t="s">
        <v>8</v>
      </c>
      <c r="B186" s="68"/>
      <c r="C186" s="69" t="s">
        <v>173</v>
      </c>
      <c r="D186" s="13"/>
      <c r="E186" s="11" t="s">
        <v>8</v>
      </c>
      <c r="F186" s="12"/>
      <c r="G186" s="16" t="s">
        <v>174</v>
      </c>
      <c r="H186" s="13"/>
      <c r="I186" s="57" t="s">
        <v>8</v>
      </c>
      <c r="J186" s="65"/>
      <c r="K186" s="69" t="s">
        <v>175</v>
      </c>
      <c r="L186" s="15"/>
      <c r="M186" s="11" t="s">
        <v>8</v>
      </c>
      <c r="N186" s="12"/>
      <c r="O186" s="16" t="s">
        <v>176</v>
      </c>
      <c r="Q186" s="11" t="s">
        <v>8</v>
      </c>
      <c r="R186" s="12"/>
      <c r="S186" s="16" t="s">
        <v>176</v>
      </c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  <c r="IP186" s="48"/>
      <c r="IQ186" s="48"/>
      <c r="IR186" s="48"/>
      <c r="IS186" s="48"/>
      <c r="IT186" s="48"/>
    </row>
    <row r="187" spans="1:254" s="47" customFormat="1" ht="14.25" customHeight="1">
      <c r="A187" s="57" t="s">
        <v>14</v>
      </c>
      <c r="B187" s="68"/>
      <c r="C187" s="67" t="s">
        <v>17</v>
      </c>
      <c r="D187" s="13"/>
      <c r="E187" s="11" t="s">
        <v>14</v>
      </c>
      <c r="F187" s="12"/>
      <c r="G187" s="9"/>
      <c r="H187" s="13"/>
      <c r="I187" s="102" t="s">
        <v>14</v>
      </c>
      <c r="J187" s="73"/>
      <c r="K187" s="67"/>
      <c r="L187" s="15"/>
      <c r="M187" s="11" t="s">
        <v>14</v>
      </c>
      <c r="N187" s="12"/>
      <c r="O187" s="9" t="s">
        <v>177</v>
      </c>
      <c r="Q187" s="11" t="s">
        <v>14</v>
      </c>
      <c r="R187" s="12"/>
      <c r="S187" s="9" t="s">
        <v>178</v>
      </c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  <c r="HA187" s="48"/>
      <c r="HB187" s="48"/>
      <c r="HC187" s="48"/>
      <c r="HD187" s="48"/>
      <c r="HE187" s="48"/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48"/>
      <c r="HZ187" s="48"/>
      <c r="IA187" s="48"/>
      <c r="IB187" s="48"/>
      <c r="IC187" s="48"/>
      <c r="ID187" s="48"/>
      <c r="IE187" s="48"/>
      <c r="IF187" s="48"/>
      <c r="IG187" s="48"/>
      <c r="IH187" s="48"/>
      <c r="II187" s="48"/>
      <c r="IJ187" s="48"/>
      <c r="IK187" s="48"/>
      <c r="IL187" s="48"/>
      <c r="IM187" s="48"/>
      <c r="IN187" s="48"/>
      <c r="IO187" s="48"/>
      <c r="IP187" s="48"/>
      <c r="IQ187" s="48"/>
      <c r="IR187" s="48"/>
      <c r="IS187" s="48"/>
      <c r="IT187" s="48"/>
    </row>
    <row r="188" spans="1:254" s="5" customFormat="1" ht="14.25" customHeight="1">
      <c r="A188" s="61" t="s">
        <v>82</v>
      </c>
      <c r="B188" s="61">
        <v>43.3</v>
      </c>
      <c r="C188" s="61">
        <f>B188/74.2*$C$192</f>
        <v>583.5579514824797</v>
      </c>
      <c r="D188" s="16"/>
      <c r="E188" s="5" t="s">
        <v>26</v>
      </c>
      <c r="F188" s="6">
        <v>180.4</v>
      </c>
      <c r="G188" s="32">
        <f aca="true" t="shared" si="50" ref="G188:G194">F188/494*$G$195</f>
        <v>365.18218623481783</v>
      </c>
      <c r="H188" s="6"/>
      <c r="I188" s="61" t="s">
        <v>22</v>
      </c>
      <c r="J188" s="61">
        <v>64.7</v>
      </c>
      <c r="K188" s="61">
        <f aca="true" t="shared" si="51" ref="K188:K193">J188/82.3*$K$194</f>
        <v>786.1482381530985</v>
      </c>
      <c r="M188" s="6" t="s">
        <v>23</v>
      </c>
      <c r="N188" s="22">
        <v>30.2818338142287</v>
      </c>
      <c r="O188" s="32">
        <f>N188/1000*$O$193</f>
        <v>30.2818338142287</v>
      </c>
      <c r="Q188" s="6" t="s">
        <v>23</v>
      </c>
      <c r="R188" s="6">
        <v>603</v>
      </c>
      <c r="S188" s="32">
        <f>R188/829.7*$S$193</f>
        <v>726.7687115824997</v>
      </c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  <c r="GS188" s="48"/>
      <c r="GT188" s="48"/>
      <c r="GU188" s="48"/>
      <c r="GV188" s="48"/>
      <c r="GW188" s="48"/>
      <c r="GX188" s="48"/>
      <c r="GY188" s="48"/>
      <c r="GZ188" s="48"/>
      <c r="HA188" s="48"/>
      <c r="HB188" s="48"/>
      <c r="HC188" s="48"/>
      <c r="HD188" s="48"/>
      <c r="HE188" s="48"/>
      <c r="HF188" s="48"/>
      <c r="HG188" s="48"/>
      <c r="HH188" s="48"/>
      <c r="HI188" s="48"/>
      <c r="HJ188" s="48"/>
      <c r="HK188" s="48"/>
      <c r="HL188" s="48"/>
      <c r="HM188" s="48"/>
      <c r="HN188" s="48"/>
      <c r="HO188" s="48"/>
      <c r="HP188" s="48"/>
      <c r="HQ188" s="48"/>
      <c r="HR188" s="48"/>
      <c r="HS188" s="48"/>
      <c r="HT188" s="48"/>
      <c r="HU188" s="48"/>
      <c r="HV188" s="48"/>
      <c r="HW188" s="48"/>
      <c r="HX188" s="48"/>
      <c r="HY188" s="48"/>
      <c r="HZ188" s="48"/>
      <c r="IA188" s="48"/>
      <c r="IB188" s="48"/>
      <c r="IC188" s="48"/>
      <c r="ID188" s="48"/>
      <c r="IE188" s="48"/>
      <c r="IF188" s="48"/>
      <c r="IG188" s="48"/>
      <c r="IH188" s="48"/>
      <c r="II188" s="48"/>
      <c r="IJ188" s="48"/>
      <c r="IK188" s="48"/>
      <c r="IL188" s="48"/>
      <c r="IM188" s="48"/>
      <c r="IN188" s="48"/>
      <c r="IO188" s="48"/>
      <c r="IP188" s="48"/>
      <c r="IQ188" s="48"/>
      <c r="IR188" s="48"/>
      <c r="IS188" s="48"/>
      <c r="IT188" s="48"/>
    </row>
    <row r="189" spans="1:254" s="5" customFormat="1" ht="14.25" customHeight="1">
      <c r="A189" s="61" t="s">
        <v>170</v>
      </c>
      <c r="B189" s="61">
        <v>14.6</v>
      </c>
      <c r="C189" s="61">
        <f>B189/74.2*$C$192</f>
        <v>196.7654986522911</v>
      </c>
      <c r="D189" s="109"/>
      <c r="E189" s="5" t="s">
        <v>46</v>
      </c>
      <c r="F189" s="6">
        <v>175.5</v>
      </c>
      <c r="G189" s="32">
        <f t="shared" si="50"/>
        <v>355.2631578947368</v>
      </c>
      <c r="H189" s="6"/>
      <c r="I189" s="61" t="s">
        <v>26</v>
      </c>
      <c r="J189" s="61">
        <v>4.3</v>
      </c>
      <c r="K189" s="61">
        <f t="shared" si="51"/>
        <v>52.247873633049814</v>
      </c>
      <c r="M189" s="39" t="s">
        <v>99</v>
      </c>
      <c r="N189" s="39">
        <v>163.125528256244</v>
      </c>
      <c r="O189" s="32">
        <f>N189/1000*$O$193</f>
        <v>163.125528256244</v>
      </c>
      <c r="Q189" s="6" t="s">
        <v>19</v>
      </c>
      <c r="R189" s="6">
        <v>160</v>
      </c>
      <c r="S189" s="32">
        <f>R189/829.7*$S$193</f>
        <v>192.84078582620222</v>
      </c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  <c r="HA189" s="48"/>
      <c r="HB189" s="48"/>
      <c r="HC189" s="48"/>
      <c r="HD189" s="48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8"/>
      <c r="II189" s="48"/>
      <c r="IJ189" s="48"/>
      <c r="IK189" s="48"/>
      <c r="IL189" s="48"/>
      <c r="IM189" s="48"/>
      <c r="IN189" s="48"/>
      <c r="IO189" s="48"/>
      <c r="IP189" s="48"/>
      <c r="IQ189" s="48"/>
      <c r="IR189" s="48"/>
      <c r="IS189" s="48"/>
      <c r="IT189" s="48"/>
    </row>
    <row r="190" spans="1:254" s="5" customFormat="1" ht="14.25" customHeight="1">
      <c r="A190" s="61" t="s">
        <v>179</v>
      </c>
      <c r="B190" s="61">
        <v>15.5</v>
      </c>
      <c r="C190" s="61">
        <f>B190/74.2*$C$192</f>
        <v>208.89487870619948</v>
      </c>
      <c r="D190" s="20"/>
      <c r="E190" s="5" t="s">
        <v>27</v>
      </c>
      <c r="F190" s="6">
        <v>40.8</v>
      </c>
      <c r="G190" s="32">
        <f t="shared" si="50"/>
        <v>82.5910931174089</v>
      </c>
      <c r="H190" s="6"/>
      <c r="I190" s="61" t="s">
        <v>31</v>
      </c>
      <c r="J190" s="61">
        <v>2.8</v>
      </c>
      <c r="K190" s="61">
        <f t="shared" si="51"/>
        <v>34.02187120291616</v>
      </c>
      <c r="M190" s="39" t="s">
        <v>141</v>
      </c>
      <c r="N190" s="39">
        <v>228.99361720731</v>
      </c>
      <c r="O190" s="32">
        <f>N190/1000*$O$193</f>
        <v>228.99361720731</v>
      </c>
      <c r="Q190" s="6" t="s">
        <v>25</v>
      </c>
      <c r="R190" s="6">
        <v>26.7</v>
      </c>
      <c r="S190" s="32">
        <f>R190/829.7*$S$193</f>
        <v>32.1803061347475</v>
      </c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  <c r="GS190" s="48"/>
      <c r="GT190" s="48"/>
      <c r="GU190" s="48"/>
      <c r="GV190" s="48"/>
      <c r="GW190" s="48"/>
      <c r="GX190" s="48"/>
      <c r="GY190" s="48"/>
      <c r="GZ190" s="48"/>
      <c r="HA190" s="48"/>
      <c r="HB190" s="48"/>
      <c r="HC190" s="48"/>
      <c r="HD190" s="48"/>
      <c r="HE190" s="48"/>
      <c r="HF190" s="48"/>
      <c r="HG190" s="48"/>
      <c r="HH190" s="48"/>
      <c r="HI190" s="48"/>
      <c r="HJ190" s="48"/>
      <c r="HK190" s="48"/>
      <c r="HL190" s="48"/>
      <c r="HM190" s="48"/>
      <c r="HN190" s="48"/>
      <c r="HO190" s="48"/>
      <c r="HP190" s="48"/>
      <c r="HQ190" s="48"/>
      <c r="HR190" s="48"/>
      <c r="HS190" s="48"/>
      <c r="HT190" s="48"/>
      <c r="HU190" s="48"/>
      <c r="HV190" s="48"/>
      <c r="HW190" s="48"/>
      <c r="HX190" s="48"/>
      <c r="HY190" s="48"/>
      <c r="HZ190" s="48"/>
      <c r="IA190" s="48"/>
      <c r="IB190" s="48"/>
      <c r="IC190" s="48"/>
      <c r="ID190" s="48"/>
      <c r="IE190" s="48"/>
      <c r="IF190" s="48"/>
      <c r="IG190" s="48"/>
      <c r="IH190" s="48"/>
      <c r="II190" s="48"/>
      <c r="IJ190" s="48"/>
      <c r="IK190" s="48"/>
      <c r="IL190" s="48"/>
      <c r="IM190" s="48"/>
      <c r="IN190" s="48"/>
      <c r="IO190" s="48"/>
      <c r="IP190" s="48"/>
      <c r="IQ190" s="48"/>
      <c r="IR190" s="48"/>
      <c r="IS190" s="48"/>
      <c r="IT190" s="48"/>
    </row>
    <row r="191" spans="1:254" s="5" customFormat="1" ht="14.25" customHeight="1">
      <c r="A191" s="61" t="s">
        <v>84</v>
      </c>
      <c r="B191" s="61">
        <v>0.8</v>
      </c>
      <c r="C191" s="61">
        <f>B191/74.2*$C$192</f>
        <v>10.781671159029651</v>
      </c>
      <c r="D191" s="20"/>
      <c r="E191" s="5" t="s">
        <v>23</v>
      </c>
      <c r="F191" s="6">
        <v>81.4</v>
      </c>
      <c r="G191" s="32">
        <f t="shared" si="50"/>
        <v>164.77732793522267</v>
      </c>
      <c r="H191" s="6"/>
      <c r="I191" s="61" t="s">
        <v>23</v>
      </c>
      <c r="J191" s="61">
        <v>3.4</v>
      </c>
      <c r="K191" s="61">
        <f t="shared" si="51"/>
        <v>41.31227217496963</v>
      </c>
      <c r="M191" s="39" t="s">
        <v>24</v>
      </c>
      <c r="N191" s="39">
        <v>286.147299699805</v>
      </c>
      <c r="O191" s="32">
        <f>N191/1000*$O$193</f>
        <v>286.147299699805</v>
      </c>
      <c r="Q191" s="6" t="s">
        <v>44</v>
      </c>
      <c r="R191" s="6">
        <v>14.1</v>
      </c>
      <c r="S191" s="32">
        <f>R191/829.7*$S$193</f>
        <v>16.99409425093407</v>
      </c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  <c r="GS191" s="48"/>
      <c r="GT191" s="48"/>
      <c r="GU191" s="48"/>
      <c r="GV191" s="48"/>
      <c r="GW191" s="48"/>
      <c r="GX191" s="48"/>
      <c r="GY191" s="48"/>
      <c r="GZ191" s="48"/>
      <c r="HA191" s="48"/>
      <c r="HB191" s="48"/>
      <c r="HC191" s="48"/>
      <c r="HD191" s="48"/>
      <c r="HE191" s="48"/>
      <c r="HF191" s="48"/>
      <c r="HG191" s="48"/>
      <c r="HH191" s="48"/>
      <c r="HI191" s="48"/>
      <c r="HJ191" s="48"/>
      <c r="HK191" s="48"/>
      <c r="HL191" s="48"/>
      <c r="HM191" s="48"/>
      <c r="HN191" s="48"/>
      <c r="HO191" s="48"/>
      <c r="HP191" s="48"/>
      <c r="HQ191" s="48"/>
      <c r="HR191" s="48"/>
      <c r="HS191" s="48"/>
      <c r="HT191" s="48"/>
      <c r="HU191" s="48"/>
      <c r="HV191" s="48"/>
      <c r="HW191" s="48"/>
      <c r="HX191" s="48"/>
      <c r="HY191" s="48"/>
      <c r="HZ191" s="48"/>
      <c r="IA191" s="48"/>
      <c r="IB191" s="48"/>
      <c r="IC191" s="48"/>
      <c r="ID191" s="48"/>
      <c r="IE191" s="48"/>
      <c r="IF191" s="48"/>
      <c r="IG191" s="48"/>
      <c r="IH191" s="48"/>
      <c r="II191" s="48"/>
      <c r="IJ191" s="48"/>
      <c r="IK191" s="48"/>
      <c r="IL191" s="48"/>
      <c r="IM191" s="48"/>
      <c r="IN191" s="48"/>
      <c r="IO191" s="48"/>
      <c r="IP191" s="48"/>
      <c r="IQ191" s="48"/>
      <c r="IR191" s="48"/>
      <c r="IS191" s="48"/>
      <c r="IT191" s="48"/>
    </row>
    <row r="192" spans="1:254" s="5" customFormat="1" ht="14.25" customHeight="1">
      <c r="A192" s="67" t="s">
        <v>30</v>
      </c>
      <c r="B192" s="67"/>
      <c r="C192" s="91">
        <v>1000</v>
      </c>
      <c r="D192" s="20"/>
      <c r="E192" s="5" t="s">
        <v>48</v>
      </c>
      <c r="F192" s="6">
        <v>11.6</v>
      </c>
      <c r="G192" s="32">
        <f t="shared" si="50"/>
        <v>23.48178137651822</v>
      </c>
      <c r="H192" s="6"/>
      <c r="I192" s="61" t="s">
        <v>51</v>
      </c>
      <c r="J192" s="61">
        <v>1.1</v>
      </c>
      <c r="K192" s="61">
        <f t="shared" si="51"/>
        <v>13.36573511543135</v>
      </c>
      <c r="M192" s="5" t="s">
        <v>51</v>
      </c>
      <c r="N192" s="22">
        <v>291.451721022413</v>
      </c>
      <c r="O192" s="32">
        <f>N192/1000*$O$193</f>
        <v>291.451721022413</v>
      </c>
      <c r="Q192" s="6" t="s">
        <v>28</v>
      </c>
      <c r="R192" s="6">
        <v>25.9</v>
      </c>
      <c r="S192" s="32">
        <f>R192/829.7*$S$193</f>
        <v>31.216102205616483</v>
      </c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  <c r="GS192" s="48"/>
      <c r="GT192" s="48"/>
      <c r="GU192" s="48"/>
      <c r="GV192" s="48"/>
      <c r="GW192" s="48"/>
      <c r="GX192" s="48"/>
      <c r="GY192" s="48"/>
      <c r="GZ192" s="48"/>
      <c r="HA192" s="48"/>
      <c r="HB192" s="48"/>
      <c r="HC192" s="48"/>
      <c r="HD192" s="48"/>
      <c r="HE192" s="48"/>
      <c r="HF192" s="48"/>
      <c r="HG192" s="48"/>
      <c r="HH192" s="48"/>
      <c r="HI192" s="48"/>
      <c r="HJ192" s="48"/>
      <c r="HK192" s="48"/>
      <c r="HL192" s="48"/>
      <c r="HM192" s="48"/>
      <c r="HN192" s="48"/>
      <c r="HO192" s="48"/>
      <c r="HP192" s="48"/>
      <c r="HQ192" s="48"/>
      <c r="HR192" s="48"/>
      <c r="HS192" s="48"/>
      <c r="HT192" s="48"/>
      <c r="HU192" s="48"/>
      <c r="HV192" s="48"/>
      <c r="HW192" s="48"/>
      <c r="HX192" s="48"/>
      <c r="HY192" s="48"/>
      <c r="HZ192" s="48"/>
      <c r="IA192" s="48"/>
      <c r="IB192" s="48"/>
      <c r="IC192" s="48"/>
      <c r="ID192" s="48"/>
      <c r="IE192" s="48"/>
      <c r="IF192" s="48"/>
      <c r="IG192" s="48"/>
      <c r="IH192" s="48"/>
      <c r="II192" s="48"/>
      <c r="IJ192" s="48"/>
      <c r="IK192" s="48"/>
      <c r="IL192" s="48"/>
      <c r="IM192" s="48"/>
      <c r="IN192" s="48"/>
      <c r="IO192" s="48"/>
      <c r="IP192" s="48"/>
      <c r="IQ192" s="48"/>
      <c r="IR192" s="48"/>
      <c r="IS192" s="48"/>
      <c r="IT192" s="48"/>
    </row>
    <row r="193" spans="1:254" s="5" customFormat="1" ht="14.25" customHeight="1">
      <c r="A193" s="61"/>
      <c r="B193" s="61"/>
      <c r="C193" s="103"/>
      <c r="D193" s="20"/>
      <c r="E193" s="5" t="s">
        <v>143</v>
      </c>
      <c r="F193" s="6">
        <v>2.1</v>
      </c>
      <c r="G193" s="32">
        <f t="shared" si="50"/>
        <v>4.251012145748987</v>
      </c>
      <c r="H193" s="6"/>
      <c r="I193" s="61" t="s">
        <v>28</v>
      </c>
      <c r="J193" s="61">
        <v>6</v>
      </c>
      <c r="K193" s="61">
        <f t="shared" si="51"/>
        <v>72.90400972053463</v>
      </c>
      <c r="M193" s="8" t="s">
        <v>30</v>
      </c>
      <c r="O193" s="30">
        <v>1000</v>
      </c>
      <c r="Q193" s="8" t="s">
        <v>30</v>
      </c>
      <c r="S193" s="30">
        <v>1000</v>
      </c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  <c r="GS193" s="48"/>
      <c r="GT193" s="48"/>
      <c r="GU193" s="48"/>
      <c r="GV193" s="48"/>
      <c r="GW193" s="48"/>
      <c r="GX193" s="48"/>
      <c r="GY193" s="48"/>
      <c r="GZ193" s="48"/>
      <c r="HA193" s="48"/>
      <c r="HB193" s="48"/>
      <c r="HC193" s="48"/>
      <c r="HD193" s="48"/>
      <c r="HE193" s="48"/>
      <c r="HF193" s="48"/>
      <c r="HG193" s="48"/>
      <c r="HH193" s="48"/>
      <c r="HI193" s="48"/>
      <c r="HJ193" s="48"/>
      <c r="HK193" s="48"/>
      <c r="HL193" s="48"/>
      <c r="HM193" s="48"/>
      <c r="HN193" s="48"/>
      <c r="HO193" s="48"/>
      <c r="HP193" s="48"/>
      <c r="HQ193" s="48"/>
      <c r="HR193" s="48"/>
      <c r="HS193" s="48"/>
      <c r="HT193" s="48"/>
      <c r="HU193" s="48"/>
      <c r="HV193" s="48"/>
      <c r="HW193" s="48"/>
      <c r="HX193" s="48"/>
      <c r="HY193" s="48"/>
      <c r="HZ193" s="48"/>
      <c r="IA193" s="48"/>
      <c r="IB193" s="48"/>
      <c r="IC193" s="48"/>
      <c r="ID193" s="48"/>
      <c r="IE193" s="48"/>
      <c r="IF193" s="48"/>
      <c r="IG193" s="48"/>
      <c r="IH193" s="48"/>
      <c r="II193" s="48"/>
      <c r="IJ193" s="48"/>
      <c r="IK193" s="48"/>
      <c r="IL193" s="48"/>
      <c r="IM193" s="48"/>
      <c r="IN193" s="48"/>
      <c r="IO193" s="48"/>
      <c r="IP193" s="48"/>
      <c r="IQ193" s="48"/>
      <c r="IR193" s="48"/>
      <c r="IS193" s="48"/>
      <c r="IT193" s="48"/>
    </row>
    <row r="194" spans="1:254" s="5" customFormat="1" ht="14.25" customHeight="1">
      <c r="A194" s="77"/>
      <c r="B194" s="50"/>
      <c r="C194" s="32"/>
      <c r="D194" s="20"/>
      <c r="E194" s="5" t="s">
        <v>51</v>
      </c>
      <c r="F194" s="6">
        <v>2.2</v>
      </c>
      <c r="G194" s="32">
        <f t="shared" si="50"/>
        <v>4.453441295546559</v>
      </c>
      <c r="H194" s="6"/>
      <c r="I194" s="67" t="s">
        <v>30</v>
      </c>
      <c r="J194" s="67"/>
      <c r="K194" s="91">
        <v>1000</v>
      </c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8"/>
      <c r="HI194" s="48"/>
      <c r="HJ194" s="48"/>
      <c r="HK194" s="48"/>
      <c r="HL194" s="48"/>
      <c r="HM194" s="48"/>
      <c r="HN194" s="48"/>
      <c r="HO194" s="48"/>
      <c r="HP194" s="48"/>
      <c r="HQ194" s="48"/>
      <c r="HR194" s="48"/>
      <c r="HS194" s="48"/>
      <c r="HT194" s="48"/>
      <c r="HU194" s="48"/>
      <c r="HV194" s="48"/>
      <c r="HW194" s="48"/>
      <c r="HX194" s="48"/>
      <c r="HY194" s="48"/>
      <c r="HZ194" s="48"/>
      <c r="IA194" s="48"/>
      <c r="IB194" s="48"/>
      <c r="IC194" s="48"/>
      <c r="ID194" s="48"/>
      <c r="IE194" s="48"/>
      <c r="IF194" s="48"/>
      <c r="IG194" s="48"/>
      <c r="IH194" s="48"/>
      <c r="II194" s="48"/>
      <c r="IJ194" s="48"/>
      <c r="IK194" s="48"/>
      <c r="IL194" s="48"/>
      <c r="IM194" s="48"/>
      <c r="IN194" s="48"/>
      <c r="IO194" s="48"/>
      <c r="IP194" s="48"/>
      <c r="IQ194" s="48"/>
      <c r="IR194" s="48"/>
      <c r="IS194" s="48"/>
      <c r="IT194" s="48"/>
    </row>
    <row r="195" spans="1:254" s="5" customFormat="1" ht="14.25" customHeight="1">
      <c r="A195" s="8"/>
      <c r="C195" s="30"/>
      <c r="D195" s="20"/>
      <c r="E195" s="8" t="s">
        <v>30</v>
      </c>
      <c r="G195" s="30">
        <v>1000</v>
      </c>
      <c r="H195" s="6"/>
      <c r="I195" s="41"/>
      <c r="J195" s="47"/>
      <c r="Q195" s="8"/>
      <c r="R195" s="9"/>
      <c r="S195" s="9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  <c r="GS195" s="48"/>
      <c r="GT195" s="48"/>
      <c r="GU195" s="48"/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  <c r="IK195" s="48"/>
      <c r="IL195" s="48"/>
      <c r="IM195" s="48"/>
      <c r="IN195" s="48"/>
      <c r="IO195" s="48"/>
      <c r="IP195" s="48"/>
      <c r="IQ195" s="48"/>
      <c r="IR195" s="48"/>
      <c r="IS195" s="48"/>
      <c r="IT195" s="48"/>
    </row>
    <row r="196" spans="1:254" s="5" customFormat="1" ht="14.25" customHeight="1">
      <c r="A196" s="8"/>
      <c r="B196" s="6"/>
      <c r="C196" s="30"/>
      <c r="D196" s="20"/>
      <c r="E196" s="8"/>
      <c r="F196" s="6"/>
      <c r="G196" s="30"/>
      <c r="H196" s="6"/>
      <c r="Q196" s="8"/>
      <c r="R196" s="9"/>
      <c r="S196" s="9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48"/>
      <c r="HZ196" s="48"/>
      <c r="IA196" s="48"/>
      <c r="IB196" s="48"/>
      <c r="IC196" s="48"/>
      <c r="ID196" s="48"/>
      <c r="IE196" s="48"/>
      <c r="IF196" s="48"/>
      <c r="IG196" s="48"/>
      <c r="IH196" s="48"/>
      <c r="II196" s="48"/>
      <c r="IJ196" s="48"/>
      <c r="IK196" s="48"/>
      <c r="IL196" s="48"/>
      <c r="IM196" s="48"/>
      <c r="IN196" s="48"/>
      <c r="IO196" s="48"/>
      <c r="IP196" s="48"/>
      <c r="IQ196" s="48"/>
      <c r="IR196" s="48"/>
      <c r="IS196" s="48"/>
      <c r="IT196" s="48"/>
    </row>
    <row r="197" spans="1:254" s="47" customFormat="1" ht="14.25" customHeight="1">
      <c r="A197" s="57" t="s">
        <v>2</v>
      </c>
      <c r="B197" s="68"/>
      <c r="C197" s="71"/>
      <c r="D197" s="14"/>
      <c r="E197" s="11" t="s">
        <v>2</v>
      </c>
      <c r="F197" s="12"/>
      <c r="G197" s="9" t="s">
        <v>171</v>
      </c>
      <c r="I197" s="11" t="s">
        <v>2</v>
      </c>
      <c r="J197" s="12"/>
      <c r="K197" s="9" t="s">
        <v>171</v>
      </c>
      <c r="M197" s="57" t="s">
        <v>2</v>
      </c>
      <c r="N197" s="68"/>
      <c r="O197" s="71"/>
      <c r="P197" s="14"/>
      <c r="Q197" s="11" t="s">
        <v>2</v>
      </c>
      <c r="R197" s="12"/>
      <c r="S197" s="35" t="s">
        <v>180</v>
      </c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8"/>
      <c r="IL197" s="48"/>
      <c r="IM197" s="48"/>
      <c r="IN197" s="48"/>
      <c r="IO197" s="48"/>
      <c r="IP197" s="48"/>
      <c r="IQ197" s="48"/>
      <c r="IR197" s="48"/>
      <c r="IS197" s="48"/>
      <c r="IT197" s="48"/>
    </row>
    <row r="198" spans="1:254" s="47" customFormat="1" ht="14.25" customHeight="1">
      <c r="A198" s="57" t="s">
        <v>5</v>
      </c>
      <c r="B198" s="68"/>
      <c r="C198" s="70" t="s">
        <v>181</v>
      </c>
      <c r="D198" s="15"/>
      <c r="E198" s="11" t="s">
        <v>5</v>
      </c>
      <c r="F198" s="12"/>
      <c r="G198" s="16" t="s">
        <v>181</v>
      </c>
      <c r="I198" s="11" t="s">
        <v>5</v>
      </c>
      <c r="J198" s="12"/>
      <c r="K198" s="49" t="s">
        <v>182</v>
      </c>
      <c r="M198" s="57" t="s">
        <v>5</v>
      </c>
      <c r="N198" s="68"/>
      <c r="O198" s="70" t="s">
        <v>182</v>
      </c>
      <c r="P198" s="13"/>
      <c r="Q198" s="11" t="s">
        <v>5</v>
      </c>
      <c r="R198" s="12"/>
      <c r="S198" s="35" t="s">
        <v>183</v>
      </c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  <c r="IK198" s="48"/>
      <c r="IL198" s="48"/>
      <c r="IM198" s="48"/>
      <c r="IN198" s="48"/>
      <c r="IO198" s="48"/>
      <c r="IP198" s="48"/>
      <c r="IQ198" s="48"/>
      <c r="IR198" s="48"/>
      <c r="IS198" s="48"/>
      <c r="IT198" s="48"/>
    </row>
    <row r="199" spans="1:254" s="47" customFormat="1" ht="14.25" customHeight="1">
      <c r="A199" s="57" t="s">
        <v>8</v>
      </c>
      <c r="B199" s="68"/>
      <c r="C199" s="69" t="s">
        <v>184</v>
      </c>
      <c r="D199" s="15"/>
      <c r="E199" s="11" t="s">
        <v>8</v>
      </c>
      <c r="F199" s="12"/>
      <c r="G199" s="16" t="s">
        <v>185</v>
      </c>
      <c r="I199" s="11" t="s">
        <v>8</v>
      </c>
      <c r="J199" s="12"/>
      <c r="K199" s="16" t="s">
        <v>186</v>
      </c>
      <c r="M199" s="57" t="s">
        <v>8</v>
      </c>
      <c r="N199" s="68"/>
      <c r="O199" s="69" t="s">
        <v>187</v>
      </c>
      <c r="P199" s="13"/>
      <c r="Q199" s="11" t="s">
        <v>8</v>
      </c>
      <c r="R199" s="12"/>
      <c r="S199" s="16" t="s">
        <v>188</v>
      </c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  <c r="GS199" s="48"/>
      <c r="GT199" s="48"/>
      <c r="GU199" s="48"/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  <c r="IK199" s="48"/>
      <c r="IL199" s="48"/>
      <c r="IM199" s="48"/>
      <c r="IN199" s="48"/>
      <c r="IO199" s="48"/>
      <c r="IP199" s="48"/>
      <c r="IQ199" s="48"/>
      <c r="IR199" s="48"/>
      <c r="IS199" s="48"/>
      <c r="IT199" s="48"/>
    </row>
    <row r="200" spans="1:254" s="47" customFormat="1" ht="14.25" customHeight="1">
      <c r="A200" s="57" t="s">
        <v>14</v>
      </c>
      <c r="B200" s="68"/>
      <c r="C200" s="67"/>
      <c r="D200" s="15"/>
      <c r="E200" s="11" t="s">
        <v>14</v>
      </c>
      <c r="F200" s="12"/>
      <c r="G200" s="9"/>
      <c r="I200" s="11" t="s">
        <v>14</v>
      </c>
      <c r="J200" s="12"/>
      <c r="K200" s="76" t="s">
        <v>189</v>
      </c>
      <c r="M200" s="57" t="s">
        <v>14</v>
      </c>
      <c r="N200" s="68"/>
      <c r="O200" s="67" t="s">
        <v>17</v>
      </c>
      <c r="P200" s="13"/>
      <c r="Q200" s="11" t="s">
        <v>14</v>
      </c>
      <c r="R200" s="12"/>
      <c r="S200" s="9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8"/>
      <c r="HI200" s="48"/>
      <c r="HJ200" s="48"/>
      <c r="HK200" s="48"/>
      <c r="HL200" s="48"/>
      <c r="HM200" s="48"/>
      <c r="HN200" s="48"/>
      <c r="HO200" s="48"/>
      <c r="HP200" s="48"/>
      <c r="HQ200" s="48"/>
      <c r="HR200" s="48"/>
      <c r="HS200" s="48"/>
      <c r="HT200" s="48"/>
      <c r="HU200" s="48"/>
      <c r="HV200" s="48"/>
      <c r="HW200" s="48"/>
      <c r="HX200" s="48"/>
      <c r="HY200" s="48"/>
      <c r="HZ200" s="48"/>
      <c r="IA200" s="48"/>
      <c r="IB200" s="48"/>
      <c r="IC200" s="48"/>
      <c r="ID200" s="48"/>
      <c r="IE200" s="48"/>
      <c r="IF200" s="48"/>
      <c r="IG200" s="48"/>
      <c r="IH200" s="48"/>
      <c r="II200" s="48"/>
      <c r="IJ200" s="48"/>
      <c r="IK200" s="48"/>
      <c r="IL200" s="48"/>
      <c r="IM200" s="48"/>
      <c r="IN200" s="48"/>
      <c r="IO200" s="48"/>
      <c r="IP200" s="48"/>
      <c r="IQ200" s="48"/>
      <c r="IR200" s="48"/>
      <c r="IS200" s="48"/>
      <c r="IT200" s="48"/>
    </row>
    <row r="201" spans="1:254" s="5" customFormat="1" ht="14.25" customHeight="1">
      <c r="A201" s="61" t="s">
        <v>20</v>
      </c>
      <c r="B201" s="61">
        <v>55</v>
      </c>
      <c r="C201" s="61">
        <f aca="true" t="shared" si="52" ref="C201:C207">B201/91.8*$C$208</f>
        <v>599.1285403050109</v>
      </c>
      <c r="E201" s="5" t="s">
        <v>22</v>
      </c>
      <c r="F201" s="5">
        <v>256.9</v>
      </c>
      <c r="G201" s="32">
        <f aca="true" t="shared" si="53" ref="G201:G207">F201/1000*$G$208</f>
        <v>256.9</v>
      </c>
      <c r="I201" s="22" t="s">
        <v>21</v>
      </c>
      <c r="J201" s="22">
        <v>254.3</v>
      </c>
      <c r="K201" s="32">
        <f aca="true" t="shared" si="54" ref="K201:K208">J201/999.9*$K$209</f>
        <v>254.32543254325435</v>
      </c>
      <c r="M201" s="61" t="s">
        <v>20</v>
      </c>
      <c r="N201" s="61">
        <v>52</v>
      </c>
      <c r="O201" s="61">
        <f aca="true" t="shared" si="55" ref="O201:O207">N201/91*$O$208</f>
        <v>571.4285714285714</v>
      </c>
      <c r="P201" s="6"/>
      <c r="Q201" s="6" t="s">
        <v>22</v>
      </c>
      <c r="R201" s="22">
        <v>878.5</v>
      </c>
      <c r="S201" s="32">
        <f aca="true" t="shared" si="56" ref="S201:S208">R201/999.8*$S$209</f>
        <v>878.6757351470295</v>
      </c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  <c r="IK201" s="48"/>
      <c r="IL201" s="48"/>
      <c r="IM201" s="48"/>
      <c r="IN201" s="48"/>
      <c r="IO201" s="48"/>
      <c r="IP201" s="48"/>
      <c r="IQ201" s="48"/>
      <c r="IR201" s="48"/>
      <c r="IS201" s="48"/>
      <c r="IT201" s="48"/>
    </row>
    <row r="202" spans="1:254" s="5" customFormat="1" ht="14.25" customHeight="1">
      <c r="A202" s="61" t="s">
        <v>22</v>
      </c>
      <c r="B202" s="61">
        <v>20</v>
      </c>
      <c r="C202" s="61">
        <f t="shared" si="52"/>
        <v>217.8649237472767</v>
      </c>
      <c r="E202" s="5" t="s">
        <v>227</v>
      </c>
      <c r="F202" s="5">
        <v>613.6</v>
      </c>
      <c r="G202" s="32">
        <f t="shared" si="53"/>
        <v>613.6</v>
      </c>
      <c r="I202" s="22" t="s">
        <v>99</v>
      </c>
      <c r="J202" s="22">
        <v>261.6</v>
      </c>
      <c r="K202" s="32">
        <f t="shared" si="54"/>
        <v>261.62616261626164</v>
      </c>
      <c r="M202" s="61" t="s">
        <v>22</v>
      </c>
      <c r="N202" s="61">
        <v>20</v>
      </c>
      <c r="O202" s="61">
        <f t="shared" si="55"/>
        <v>219.78021978021977</v>
      </c>
      <c r="P202" s="6"/>
      <c r="Q202" s="6" t="s">
        <v>24</v>
      </c>
      <c r="R202" s="22">
        <v>58.1</v>
      </c>
      <c r="S202" s="32">
        <f t="shared" si="56"/>
        <v>58.111622324464896</v>
      </c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  <c r="GQ202" s="48"/>
      <c r="GR202" s="48"/>
      <c r="GS202" s="48"/>
      <c r="GT202" s="48"/>
      <c r="GU202" s="48"/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  <c r="IK202" s="48"/>
      <c r="IL202" s="48"/>
      <c r="IM202" s="48"/>
      <c r="IN202" s="48"/>
      <c r="IO202" s="48"/>
      <c r="IP202" s="48"/>
      <c r="IQ202" s="48"/>
      <c r="IR202" s="48"/>
      <c r="IS202" s="48"/>
      <c r="IT202" s="48"/>
    </row>
    <row r="203" spans="1:254" s="5" customFormat="1" ht="14.25" customHeight="1">
      <c r="A203" s="61" t="s">
        <v>23</v>
      </c>
      <c r="B203" s="61">
        <v>2.4</v>
      </c>
      <c r="C203" s="61">
        <f t="shared" si="52"/>
        <v>26.143790849673202</v>
      </c>
      <c r="E203" s="5" t="s">
        <v>24</v>
      </c>
      <c r="F203" s="5">
        <v>76.2</v>
      </c>
      <c r="G203" s="32">
        <f t="shared" si="53"/>
        <v>76.2</v>
      </c>
      <c r="I203" s="22" t="s">
        <v>26</v>
      </c>
      <c r="J203" s="22">
        <v>46.6</v>
      </c>
      <c r="K203" s="32">
        <f t="shared" si="54"/>
        <v>46.60466046604661</v>
      </c>
      <c r="M203" s="61" t="s">
        <v>26</v>
      </c>
      <c r="N203" s="61">
        <v>1.8</v>
      </c>
      <c r="O203" s="61">
        <f t="shared" si="55"/>
        <v>19.78021978021978</v>
      </c>
      <c r="P203" s="6"/>
      <c r="Q203" s="6" t="s">
        <v>27</v>
      </c>
      <c r="R203" s="22">
        <v>12.4</v>
      </c>
      <c r="S203" s="32">
        <f t="shared" si="56"/>
        <v>12.402480496099221</v>
      </c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  <c r="EB203" s="48"/>
      <c r="EC203" s="48"/>
      <c r="ED203" s="48"/>
      <c r="EE203" s="48"/>
      <c r="EF203" s="48"/>
      <c r="EG203" s="48"/>
      <c r="EH203" s="48"/>
      <c r="EI203" s="48"/>
      <c r="EJ203" s="48"/>
      <c r="EK203" s="48"/>
      <c r="EL203" s="48"/>
      <c r="EM203" s="48"/>
      <c r="EN203" s="48"/>
      <c r="EO203" s="48"/>
      <c r="EP203" s="48"/>
      <c r="EQ203" s="48"/>
      <c r="ER203" s="48"/>
      <c r="ES203" s="48"/>
      <c r="ET203" s="48"/>
      <c r="EU203" s="48"/>
      <c r="EV203" s="48"/>
      <c r="EW203" s="48"/>
      <c r="EX203" s="48"/>
      <c r="EY203" s="48"/>
      <c r="EZ203" s="48"/>
      <c r="FA203" s="48"/>
      <c r="FB203" s="48"/>
      <c r="FC203" s="48"/>
      <c r="FD203" s="48"/>
      <c r="FE203" s="48"/>
      <c r="FF203" s="48"/>
      <c r="FG203" s="48"/>
      <c r="FH203" s="48"/>
      <c r="FI203" s="48"/>
      <c r="FJ203" s="48"/>
      <c r="FK203" s="48"/>
      <c r="FL203" s="48"/>
      <c r="FM203" s="48"/>
      <c r="FN203" s="48"/>
      <c r="FO203" s="48"/>
      <c r="FP203" s="48"/>
      <c r="FQ203" s="48"/>
      <c r="FR203" s="48"/>
      <c r="FS203" s="48"/>
      <c r="FT203" s="48"/>
      <c r="FU203" s="48"/>
      <c r="FV203" s="48"/>
      <c r="FW203" s="48"/>
      <c r="FX203" s="48"/>
      <c r="FY203" s="48"/>
      <c r="FZ203" s="48"/>
      <c r="GA203" s="48"/>
      <c r="GB203" s="48"/>
      <c r="GC203" s="48"/>
      <c r="GD203" s="48"/>
      <c r="GE203" s="48"/>
      <c r="GF203" s="48"/>
      <c r="GG203" s="48"/>
      <c r="GH203" s="48"/>
      <c r="GI203" s="48"/>
      <c r="GJ203" s="48"/>
      <c r="GK203" s="48"/>
      <c r="GL203" s="48"/>
      <c r="GM203" s="48"/>
      <c r="GN203" s="48"/>
      <c r="GO203" s="48"/>
      <c r="GP203" s="48"/>
      <c r="GQ203" s="48"/>
      <c r="GR203" s="48"/>
      <c r="GS203" s="48"/>
      <c r="GT203" s="48"/>
      <c r="GU203" s="48"/>
      <c r="GV203" s="48"/>
      <c r="GW203" s="48"/>
      <c r="GX203" s="48"/>
      <c r="GY203" s="48"/>
      <c r="GZ203" s="48"/>
      <c r="HA203" s="48"/>
      <c r="HB203" s="48"/>
      <c r="HC203" s="48"/>
      <c r="HD203" s="48"/>
      <c r="HE203" s="48"/>
      <c r="HF203" s="48"/>
      <c r="HG203" s="48"/>
      <c r="HH203" s="48"/>
      <c r="HI203" s="48"/>
      <c r="HJ203" s="48"/>
      <c r="HK203" s="48"/>
      <c r="HL203" s="48"/>
      <c r="HM203" s="48"/>
      <c r="HN203" s="48"/>
      <c r="HO203" s="48"/>
      <c r="HP203" s="48"/>
      <c r="HQ203" s="48"/>
      <c r="HR203" s="48"/>
      <c r="HS203" s="48"/>
      <c r="HT203" s="48"/>
      <c r="HU203" s="48"/>
      <c r="HV203" s="48"/>
      <c r="HW203" s="48"/>
      <c r="HX203" s="48"/>
      <c r="HY203" s="48"/>
      <c r="HZ203" s="48"/>
      <c r="IA203" s="48"/>
      <c r="IB203" s="48"/>
      <c r="IC203" s="48"/>
      <c r="ID203" s="48"/>
      <c r="IE203" s="48"/>
      <c r="IF203" s="48"/>
      <c r="IG203" s="48"/>
      <c r="IH203" s="48"/>
      <c r="II203" s="48"/>
      <c r="IJ203" s="48"/>
      <c r="IK203" s="48"/>
      <c r="IL203" s="48"/>
      <c r="IM203" s="48"/>
      <c r="IN203" s="48"/>
      <c r="IO203" s="48"/>
      <c r="IP203" s="48"/>
      <c r="IQ203" s="48"/>
      <c r="IR203" s="48"/>
      <c r="IS203" s="48"/>
      <c r="IT203" s="48"/>
    </row>
    <row r="204" spans="1:254" s="5" customFormat="1" ht="14.25" customHeight="1">
      <c r="A204" s="61" t="s">
        <v>24</v>
      </c>
      <c r="B204" s="61">
        <v>4</v>
      </c>
      <c r="C204" s="61">
        <f t="shared" si="52"/>
        <v>43.57298474945534</v>
      </c>
      <c r="E204" s="5" t="s">
        <v>23</v>
      </c>
      <c r="F204" s="5">
        <v>42.9</v>
      </c>
      <c r="G204" s="32">
        <f t="shared" si="53"/>
        <v>42.9</v>
      </c>
      <c r="I204" s="22" t="s">
        <v>23</v>
      </c>
      <c r="J204" s="22">
        <v>95.4</v>
      </c>
      <c r="K204" s="32">
        <f t="shared" si="54"/>
        <v>95.40954095409542</v>
      </c>
      <c r="M204" s="61" t="s">
        <v>23</v>
      </c>
      <c r="N204" s="61">
        <v>7.5</v>
      </c>
      <c r="O204" s="61">
        <f t="shared" si="55"/>
        <v>82.41758241758242</v>
      </c>
      <c r="P204" s="6"/>
      <c r="Q204" s="6" t="s">
        <v>44</v>
      </c>
      <c r="R204" s="22">
        <v>3</v>
      </c>
      <c r="S204" s="32">
        <f t="shared" si="56"/>
        <v>3.000600120024005</v>
      </c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  <c r="GQ204" s="48"/>
      <c r="GR204" s="48"/>
      <c r="GS204" s="48"/>
      <c r="GT204" s="48"/>
      <c r="GU204" s="48"/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48"/>
      <c r="IF204" s="48"/>
      <c r="IG204" s="48"/>
      <c r="IH204" s="48"/>
      <c r="II204" s="48"/>
      <c r="IJ204" s="48"/>
      <c r="IK204" s="48"/>
      <c r="IL204" s="48"/>
      <c r="IM204" s="48"/>
      <c r="IN204" s="48"/>
      <c r="IO204" s="48"/>
      <c r="IP204" s="48"/>
      <c r="IQ204" s="48"/>
      <c r="IR204" s="48"/>
      <c r="IS204" s="48"/>
      <c r="IT204" s="48"/>
    </row>
    <row r="205" spans="1:254" s="5" customFormat="1" ht="14.25" customHeight="1">
      <c r="A205" s="61" t="s">
        <v>143</v>
      </c>
      <c r="B205" s="61">
        <v>0.9</v>
      </c>
      <c r="C205" s="61">
        <f t="shared" si="52"/>
        <v>9.803921568627452</v>
      </c>
      <c r="E205" s="5" t="s">
        <v>161</v>
      </c>
      <c r="F205" s="5">
        <v>6.4</v>
      </c>
      <c r="G205" s="32">
        <f t="shared" si="53"/>
        <v>6.4</v>
      </c>
      <c r="I205" s="22" t="s">
        <v>69</v>
      </c>
      <c r="J205" s="22">
        <v>21</v>
      </c>
      <c r="K205" s="32">
        <f t="shared" si="54"/>
        <v>21.002100210021002</v>
      </c>
      <c r="M205" s="61" t="s">
        <v>33</v>
      </c>
      <c r="N205" s="61">
        <v>0.7</v>
      </c>
      <c r="O205" s="61">
        <f t="shared" si="55"/>
        <v>7.692307692307692</v>
      </c>
      <c r="P205" s="6"/>
      <c r="Q205" s="39" t="s">
        <v>51</v>
      </c>
      <c r="R205" s="39">
        <v>14.1</v>
      </c>
      <c r="S205" s="32">
        <f t="shared" si="56"/>
        <v>14.102820564112823</v>
      </c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  <c r="FF205" s="48"/>
      <c r="FG205" s="48"/>
      <c r="FH205" s="48"/>
      <c r="FI205" s="48"/>
      <c r="FJ205" s="48"/>
      <c r="FK205" s="48"/>
      <c r="FL205" s="48"/>
      <c r="FM205" s="48"/>
      <c r="FN205" s="48"/>
      <c r="FO205" s="48"/>
      <c r="FP205" s="48"/>
      <c r="FQ205" s="48"/>
      <c r="FR205" s="48"/>
      <c r="FS205" s="48"/>
      <c r="FT205" s="48"/>
      <c r="FU205" s="48"/>
      <c r="FV205" s="48"/>
      <c r="FW205" s="48"/>
      <c r="FX205" s="48"/>
      <c r="FY205" s="48"/>
      <c r="FZ205" s="48"/>
      <c r="GA205" s="48"/>
      <c r="GB205" s="48"/>
      <c r="GC205" s="48"/>
      <c r="GD205" s="48"/>
      <c r="GE205" s="48"/>
      <c r="GF205" s="48"/>
      <c r="GG205" s="48"/>
      <c r="GH205" s="48"/>
      <c r="GI205" s="48"/>
      <c r="GJ205" s="48"/>
      <c r="GK205" s="48"/>
      <c r="GL205" s="48"/>
      <c r="GM205" s="48"/>
      <c r="GN205" s="48"/>
      <c r="GO205" s="48"/>
      <c r="GP205" s="48"/>
      <c r="GQ205" s="48"/>
      <c r="GR205" s="48"/>
      <c r="GS205" s="48"/>
      <c r="GT205" s="48"/>
      <c r="GU205" s="48"/>
      <c r="GV205" s="48"/>
      <c r="GW205" s="48"/>
      <c r="GX205" s="48"/>
      <c r="GY205" s="48"/>
      <c r="GZ205" s="48"/>
      <c r="HA205" s="48"/>
      <c r="HB205" s="48"/>
      <c r="HC205" s="48"/>
      <c r="HD205" s="48"/>
      <c r="HE205" s="48"/>
      <c r="HF205" s="48"/>
      <c r="HG205" s="48"/>
      <c r="HH205" s="48"/>
      <c r="HI205" s="48"/>
      <c r="HJ205" s="48"/>
      <c r="HK205" s="48"/>
      <c r="HL205" s="48"/>
      <c r="HM205" s="48"/>
      <c r="HN205" s="48"/>
      <c r="HO205" s="48"/>
      <c r="HP205" s="48"/>
      <c r="HQ205" s="48"/>
      <c r="HR205" s="48"/>
      <c r="HS205" s="48"/>
      <c r="HT205" s="48"/>
      <c r="HU205" s="48"/>
      <c r="HV205" s="48"/>
      <c r="HW205" s="48"/>
      <c r="HX205" s="48"/>
      <c r="HY205" s="48"/>
      <c r="HZ205" s="48"/>
      <c r="IA205" s="48"/>
      <c r="IB205" s="48"/>
      <c r="IC205" s="48"/>
      <c r="ID205" s="48"/>
      <c r="IE205" s="48"/>
      <c r="IF205" s="48"/>
      <c r="IG205" s="48"/>
      <c r="IH205" s="48"/>
      <c r="II205" s="48"/>
      <c r="IJ205" s="48"/>
      <c r="IK205" s="48"/>
      <c r="IL205" s="48"/>
      <c r="IM205" s="48"/>
      <c r="IN205" s="48"/>
      <c r="IO205" s="48"/>
      <c r="IP205" s="48"/>
      <c r="IQ205" s="48"/>
      <c r="IR205" s="48"/>
      <c r="IS205" s="48"/>
      <c r="IT205" s="48"/>
    </row>
    <row r="206" spans="1:254" s="5" customFormat="1" ht="14.25" customHeight="1">
      <c r="A206" s="61" t="s">
        <v>51</v>
      </c>
      <c r="B206" s="61">
        <v>0.5</v>
      </c>
      <c r="C206" s="61">
        <f t="shared" si="52"/>
        <v>5.446623093681917</v>
      </c>
      <c r="E206" s="5" t="s">
        <v>32</v>
      </c>
      <c r="F206" s="5">
        <v>1.6</v>
      </c>
      <c r="G206" s="32">
        <f t="shared" si="53"/>
        <v>1.6</v>
      </c>
      <c r="I206" s="22" t="s">
        <v>28</v>
      </c>
      <c r="J206" s="22">
        <v>68.5</v>
      </c>
      <c r="K206" s="32">
        <f t="shared" si="54"/>
        <v>68.50685068506851</v>
      </c>
      <c r="M206" s="61" t="s">
        <v>51</v>
      </c>
      <c r="N206" s="61">
        <v>1</v>
      </c>
      <c r="O206" s="61">
        <f t="shared" si="55"/>
        <v>10.989010989010989</v>
      </c>
      <c r="P206" s="6"/>
      <c r="Q206" s="39" t="s">
        <v>32</v>
      </c>
      <c r="R206" s="39">
        <v>12.4</v>
      </c>
      <c r="S206" s="32">
        <f t="shared" si="56"/>
        <v>12.402480496099221</v>
      </c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48"/>
      <c r="ED206" s="48"/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/>
      <c r="ET206" s="48"/>
      <c r="EU206" s="48"/>
      <c r="EV206" s="48"/>
      <c r="EW206" s="48"/>
      <c r="EX206" s="48"/>
      <c r="EY206" s="48"/>
      <c r="EZ206" s="48"/>
      <c r="FA206" s="48"/>
      <c r="FB206" s="48"/>
      <c r="FC206" s="48"/>
      <c r="FD206" s="48"/>
      <c r="FE206" s="48"/>
      <c r="FF206" s="48"/>
      <c r="FG206" s="48"/>
      <c r="FH206" s="48"/>
      <c r="FI206" s="48"/>
      <c r="FJ206" s="48"/>
      <c r="FK206" s="48"/>
      <c r="FL206" s="48"/>
      <c r="FM206" s="48"/>
      <c r="FN206" s="48"/>
      <c r="FO206" s="48"/>
      <c r="FP206" s="48"/>
      <c r="FQ206" s="48"/>
      <c r="FR206" s="48"/>
      <c r="FS206" s="48"/>
      <c r="FT206" s="48"/>
      <c r="FU206" s="48"/>
      <c r="FV206" s="48"/>
      <c r="FW206" s="48"/>
      <c r="FX206" s="48"/>
      <c r="FY206" s="48"/>
      <c r="FZ206" s="48"/>
      <c r="GA206" s="48"/>
      <c r="GB206" s="48"/>
      <c r="GC206" s="48"/>
      <c r="GD206" s="48"/>
      <c r="GE206" s="48"/>
      <c r="GF206" s="48"/>
      <c r="GG206" s="48"/>
      <c r="GH206" s="48"/>
      <c r="GI206" s="48"/>
      <c r="GJ206" s="48"/>
      <c r="GK206" s="48"/>
      <c r="GL206" s="48"/>
      <c r="GM206" s="48"/>
      <c r="GN206" s="48"/>
      <c r="GO206" s="48"/>
      <c r="GP206" s="48"/>
      <c r="GQ206" s="48"/>
      <c r="GR206" s="48"/>
      <c r="GS206" s="48"/>
      <c r="GT206" s="48"/>
      <c r="GU206" s="48"/>
      <c r="GV206" s="48"/>
      <c r="GW206" s="48"/>
      <c r="GX206" s="48"/>
      <c r="GY206" s="48"/>
      <c r="GZ206" s="48"/>
      <c r="HA206" s="48"/>
      <c r="HB206" s="48"/>
      <c r="HC206" s="48"/>
      <c r="HD206" s="48"/>
      <c r="HE206" s="48"/>
      <c r="HF206" s="48"/>
      <c r="HG206" s="48"/>
      <c r="HH206" s="48"/>
      <c r="HI206" s="48"/>
      <c r="HJ206" s="48"/>
      <c r="HK206" s="48"/>
      <c r="HL206" s="48"/>
      <c r="HM206" s="48"/>
      <c r="HN206" s="48"/>
      <c r="HO206" s="48"/>
      <c r="HP206" s="48"/>
      <c r="HQ206" s="48"/>
      <c r="HR206" s="48"/>
      <c r="HS206" s="48"/>
      <c r="HT206" s="48"/>
      <c r="HU206" s="48"/>
      <c r="HV206" s="48"/>
      <c r="HW206" s="48"/>
      <c r="HX206" s="48"/>
      <c r="HY206" s="48"/>
      <c r="HZ206" s="48"/>
      <c r="IA206" s="48"/>
      <c r="IB206" s="48"/>
      <c r="IC206" s="48"/>
      <c r="ID206" s="48"/>
      <c r="IE206" s="48"/>
      <c r="IF206" s="48"/>
      <c r="IG206" s="48"/>
      <c r="IH206" s="48"/>
      <c r="II206" s="48"/>
      <c r="IJ206" s="48"/>
      <c r="IK206" s="48"/>
      <c r="IL206" s="48"/>
      <c r="IM206" s="48"/>
      <c r="IN206" s="48"/>
      <c r="IO206" s="48"/>
      <c r="IP206" s="48"/>
      <c r="IQ206" s="48"/>
      <c r="IR206" s="48"/>
      <c r="IS206" s="48"/>
      <c r="IT206" s="48"/>
    </row>
    <row r="207" spans="1:254" s="5" customFormat="1" ht="14.25" customHeight="1">
      <c r="A207" s="61" t="s">
        <v>28</v>
      </c>
      <c r="B207" s="61">
        <v>9</v>
      </c>
      <c r="C207" s="61">
        <f t="shared" si="52"/>
        <v>98.0392156862745</v>
      </c>
      <c r="E207" s="5" t="s">
        <v>143</v>
      </c>
      <c r="F207" s="5">
        <v>2.4</v>
      </c>
      <c r="G207" s="32">
        <f t="shared" si="53"/>
        <v>2.4</v>
      </c>
      <c r="I207" s="22" t="s">
        <v>32</v>
      </c>
      <c r="J207" s="22">
        <v>61.2</v>
      </c>
      <c r="K207" s="32">
        <f t="shared" si="54"/>
        <v>61.20612061206121</v>
      </c>
      <c r="M207" s="61" t="s">
        <v>28</v>
      </c>
      <c r="N207" s="61">
        <v>8</v>
      </c>
      <c r="O207" s="61">
        <f t="shared" si="55"/>
        <v>87.91208791208791</v>
      </c>
      <c r="P207" s="6"/>
      <c r="Q207" s="39" t="s">
        <v>28</v>
      </c>
      <c r="R207" s="39">
        <v>19.2</v>
      </c>
      <c r="S207" s="32">
        <f t="shared" si="56"/>
        <v>19.20384076815363</v>
      </c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  <c r="EC207" s="48"/>
      <c r="ED207" s="48"/>
      <c r="EE207" s="48"/>
      <c r="EF207" s="48"/>
      <c r="EG207" s="48"/>
      <c r="EH207" s="48"/>
      <c r="EI207" s="48"/>
      <c r="EJ207" s="48"/>
      <c r="EK207" s="48"/>
      <c r="EL207" s="48"/>
      <c r="EM207" s="48"/>
      <c r="EN207" s="48"/>
      <c r="EO207" s="48"/>
      <c r="EP207" s="48"/>
      <c r="EQ207" s="48"/>
      <c r="ER207" s="48"/>
      <c r="ES207" s="48"/>
      <c r="ET207" s="48"/>
      <c r="EU207" s="48"/>
      <c r="EV207" s="48"/>
      <c r="EW207" s="48"/>
      <c r="EX207" s="48"/>
      <c r="EY207" s="48"/>
      <c r="EZ207" s="48"/>
      <c r="FA207" s="48"/>
      <c r="FB207" s="48"/>
      <c r="FC207" s="48"/>
      <c r="FD207" s="48"/>
      <c r="FE207" s="48"/>
      <c r="FF207" s="48"/>
      <c r="FG207" s="48"/>
      <c r="FH207" s="48"/>
      <c r="FI207" s="48"/>
      <c r="FJ207" s="48"/>
      <c r="FK207" s="48"/>
      <c r="FL207" s="48"/>
      <c r="FM207" s="48"/>
      <c r="FN207" s="48"/>
      <c r="FO207" s="48"/>
      <c r="FP207" s="48"/>
      <c r="FQ207" s="48"/>
      <c r="FR207" s="48"/>
      <c r="FS207" s="48"/>
      <c r="FT207" s="48"/>
      <c r="FU207" s="48"/>
      <c r="FV207" s="48"/>
      <c r="FW207" s="48"/>
      <c r="FX207" s="48"/>
      <c r="FY207" s="48"/>
      <c r="FZ207" s="48"/>
      <c r="GA207" s="48"/>
      <c r="GB207" s="48"/>
      <c r="GC207" s="48"/>
      <c r="GD207" s="48"/>
      <c r="GE207" s="48"/>
      <c r="GF207" s="48"/>
      <c r="GG207" s="48"/>
      <c r="GH207" s="48"/>
      <c r="GI207" s="48"/>
      <c r="GJ207" s="48"/>
      <c r="GK207" s="48"/>
      <c r="GL207" s="48"/>
      <c r="GM207" s="48"/>
      <c r="GN207" s="48"/>
      <c r="GO207" s="48"/>
      <c r="GP207" s="48"/>
      <c r="GQ207" s="48"/>
      <c r="GR207" s="48"/>
      <c r="GS207" s="48"/>
      <c r="GT207" s="48"/>
      <c r="GU207" s="48"/>
      <c r="GV207" s="48"/>
      <c r="GW207" s="48"/>
      <c r="GX207" s="48"/>
      <c r="GY207" s="48"/>
      <c r="GZ207" s="48"/>
      <c r="HA207" s="48"/>
      <c r="HB207" s="48"/>
      <c r="HC207" s="48"/>
      <c r="HD207" s="48"/>
      <c r="HE207" s="48"/>
      <c r="HF207" s="48"/>
      <c r="HG207" s="48"/>
      <c r="HH207" s="48"/>
      <c r="HI207" s="48"/>
      <c r="HJ207" s="48"/>
      <c r="HK207" s="48"/>
      <c r="HL207" s="48"/>
      <c r="HM207" s="48"/>
      <c r="HN207" s="48"/>
      <c r="HO207" s="48"/>
      <c r="HP207" s="48"/>
      <c r="HQ207" s="48"/>
      <c r="HR207" s="48"/>
      <c r="HS207" s="48"/>
      <c r="HT207" s="48"/>
      <c r="HU207" s="48"/>
      <c r="HV207" s="48"/>
      <c r="HW207" s="48"/>
      <c r="HX207" s="48"/>
      <c r="HY207" s="48"/>
      <c r="HZ207" s="48"/>
      <c r="IA207" s="48"/>
      <c r="IB207" s="48"/>
      <c r="IC207" s="48"/>
      <c r="ID207" s="48"/>
      <c r="IE207" s="48"/>
      <c r="IF207" s="48"/>
      <c r="IG207" s="48"/>
      <c r="IH207" s="48"/>
      <c r="II207" s="48"/>
      <c r="IJ207" s="48"/>
      <c r="IK207" s="48"/>
      <c r="IL207" s="48"/>
      <c r="IM207" s="48"/>
      <c r="IN207" s="48"/>
      <c r="IO207" s="48"/>
      <c r="IP207" s="48"/>
      <c r="IQ207" s="48"/>
      <c r="IR207" s="48"/>
      <c r="IS207" s="48"/>
      <c r="IT207" s="48"/>
    </row>
    <row r="208" spans="1:254" s="5" customFormat="1" ht="14.25" customHeight="1">
      <c r="A208" s="67" t="s">
        <v>30</v>
      </c>
      <c r="B208" s="67"/>
      <c r="C208" s="91">
        <v>1000</v>
      </c>
      <c r="E208" s="8" t="s">
        <v>30</v>
      </c>
      <c r="G208" s="30">
        <v>1000</v>
      </c>
      <c r="I208" s="22" t="s">
        <v>48</v>
      </c>
      <c r="J208" s="22">
        <v>191.3</v>
      </c>
      <c r="K208" s="32">
        <f t="shared" si="54"/>
        <v>191.31913191319134</v>
      </c>
      <c r="M208" s="67" t="s">
        <v>30</v>
      </c>
      <c r="N208" s="67"/>
      <c r="O208" s="91">
        <v>1000</v>
      </c>
      <c r="P208" s="6"/>
      <c r="Q208" s="39" t="s">
        <v>69</v>
      </c>
      <c r="R208" s="39">
        <v>2.1</v>
      </c>
      <c r="S208" s="32">
        <f t="shared" si="56"/>
        <v>2.1004200840168035</v>
      </c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  <c r="EB208" s="48"/>
      <c r="EC208" s="48"/>
      <c r="ED208" s="48"/>
      <c r="EE208" s="48"/>
      <c r="EF208" s="48"/>
      <c r="EG208" s="48"/>
      <c r="EH208" s="48"/>
      <c r="EI208" s="48"/>
      <c r="EJ208" s="48"/>
      <c r="EK208" s="48"/>
      <c r="EL208" s="48"/>
      <c r="EM208" s="48"/>
      <c r="EN208" s="48"/>
      <c r="EO208" s="48"/>
      <c r="EP208" s="48"/>
      <c r="EQ208" s="48"/>
      <c r="ER208" s="48"/>
      <c r="ES208" s="48"/>
      <c r="ET208" s="48"/>
      <c r="EU208" s="48"/>
      <c r="EV208" s="48"/>
      <c r="EW208" s="48"/>
      <c r="EX208" s="48"/>
      <c r="EY208" s="48"/>
      <c r="EZ208" s="48"/>
      <c r="FA208" s="48"/>
      <c r="FB208" s="48"/>
      <c r="FC208" s="48"/>
      <c r="FD208" s="48"/>
      <c r="FE208" s="48"/>
      <c r="FF208" s="48"/>
      <c r="FG208" s="48"/>
      <c r="FH208" s="48"/>
      <c r="FI208" s="48"/>
      <c r="FJ208" s="48"/>
      <c r="FK208" s="48"/>
      <c r="FL208" s="48"/>
      <c r="FM208" s="48"/>
      <c r="FN208" s="48"/>
      <c r="FO208" s="48"/>
      <c r="FP208" s="48"/>
      <c r="FQ208" s="48"/>
      <c r="FR208" s="48"/>
      <c r="FS208" s="48"/>
      <c r="FT208" s="48"/>
      <c r="FU208" s="48"/>
      <c r="FV208" s="48"/>
      <c r="FW208" s="48"/>
      <c r="FX208" s="48"/>
      <c r="FY208" s="48"/>
      <c r="FZ208" s="48"/>
      <c r="GA208" s="48"/>
      <c r="GB208" s="48"/>
      <c r="GC208" s="48"/>
      <c r="GD208" s="48"/>
      <c r="GE208" s="48"/>
      <c r="GF208" s="48"/>
      <c r="GG208" s="48"/>
      <c r="GH208" s="48"/>
      <c r="GI208" s="48"/>
      <c r="GJ208" s="48"/>
      <c r="GK208" s="48"/>
      <c r="GL208" s="48"/>
      <c r="GM208" s="48"/>
      <c r="GN208" s="48"/>
      <c r="GO208" s="48"/>
      <c r="GP208" s="48"/>
      <c r="GQ208" s="48"/>
      <c r="GR208" s="48"/>
      <c r="GS208" s="48"/>
      <c r="GT208" s="48"/>
      <c r="GU208" s="48"/>
      <c r="GV208" s="48"/>
      <c r="GW208" s="48"/>
      <c r="GX208" s="48"/>
      <c r="GY208" s="48"/>
      <c r="GZ208" s="48"/>
      <c r="HA208" s="48"/>
      <c r="HB208" s="48"/>
      <c r="HC208" s="48"/>
      <c r="HD208" s="48"/>
      <c r="HE208" s="48"/>
      <c r="HF208" s="48"/>
      <c r="HG208" s="48"/>
      <c r="HH208" s="48"/>
      <c r="HI208" s="48"/>
      <c r="HJ208" s="48"/>
      <c r="HK208" s="48"/>
      <c r="HL208" s="48"/>
      <c r="HM208" s="48"/>
      <c r="HN208" s="48"/>
      <c r="HO208" s="48"/>
      <c r="HP208" s="48"/>
      <c r="HQ208" s="48"/>
      <c r="HR208" s="48"/>
      <c r="HS208" s="48"/>
      <c r="HT208" s="48"/>
      <c r="HU208" s="48"/>
      <c r="HV208" s="48"/>
      <c r="HW208" s="48"/>
      <c r="HX208" s="48"/>
      <c r="HY208" s="48"/>
      <c r="HZ208" s="48"/>
      <c r="IA208" s="48"/>
      <c r="IB208" s="48"/>
      <c r="IC208" s="48"/>
      <c r="ID208" s="48"/>
      <c r="IE208" s="48"/>
      <c r="IF208" s="48"/>
      <c r="IG208" s="48"/>
      <c r="IH208" s="48"/>
      <c r="II208" s="48"/>
      <c r="IJ208" s="48"/>
      <c r="IK208" s="48"/>
      <c r="IL208" s="48"/>
      <c r="IM208" s="48"/>
      <c r="IN208" s="48"/>
      <c r="IO208" s="48"/>
      <c r="IP208" s="48"/>
      <c r="IQ208" s="48"/>
      <c r="IR208" s="48"/>
      <c r="IS208" s="48"/>
      <c r="IT208" s="48"/>
    </row>
    <row r="209" spans="1:254" s="5" customFormat="1" ht="14.25" customHeight="1">
      <c r="A209" s="8"/>
      <c r="C209" s="30"/>
      <c r="E209" s="41"/>
      <c r="F209" s="17"/>
      <c r="G209" s="6"/>
      <c r="I209" s="8" t="s">
        <v>30</v>
      </c>
      <c r="K209" s="30">
        <v>1000</v>
      </c>
      <c r="P209" s="6"/>
      <c r="Q209" s="27" t="s">
        <v>30</v>
      </c>
      <c r="S209" s="30">
        <v>1000</v>
      </c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  <c r="EC209" s="48"/>
      <c r="ED209" s="48"/>
      <c r="EE209" s="48"/>
      <c r="EF209" s="48"/>
      <c r="EG209" s="48"/>
      <c r="EH209" s="48"/>
      <c r="EI209" s="48"/>
      <c r="EJ209" s="48"/>
      <c r="EK209" s="48"/>
      <c r="EL209" s="48"/>
      <c r="EM209" s="48"/>
      <c r="EN209" s="48"/>
      <c r="EO209" s="48"/>
      <c r="EP209" s="48"/>
      <c r="EQ209" s="48"/>
      <c r="ER209" s="48"/>
      <c r="ES209" s="48"/>
      <c r="ET209" s="48"/>
      <c r="EU209" s="48"/>
      <c r="EV209" s="48"/>
      <c r="EW209" s="48"/>
      <c r="EX209" s="48"/>
      <c r="EY209" s="48"/>
      <c r="EZ209" s="48"/>
      <c r="FA209" s="48"/>
      <c r="FB209" s="48"/>
      <c r="FC209" s="48"/>
      <c r="FD209" s="48"/>
      <c r="FE209" s="48"/>
      <c r="FF209" s="48"/>
      <c r="FG209" s="48"/>
      <c r="FH209" s="48"/>
      <c r="FI209" s="48"/>
      <c r="FJ209" s="48"/>
      <c r="FK209" s="48"/>
      <c r="FL209" s="48"/>
      <c r="FM209" s="48"/>
      <c r="FN209" s="48"/>
      <c r="FO209" s="48"/>
      <c r="FP209" s="48"/>
      <c r="FQ209" s="48"/>
      <c r="FR209" s="48"/>
      <c r="FS209" s="48"/>
      <c r="FT209" s="48"/>
      <c r="FU209" s="48"/>
      <c r="FV209" s="48"/>
      <c r="FW209" s="48"/>
      <c r="FX209" s="48"/>
      <c r="FY209" s="48"/>
      <c r="FZ209" s="48"/>
      <c r="GA209" s="48"/>
      <c r="GB209" s="48"/>
      <c r="GC209" s="48"/>
      <c r="GD209" s="48"/>
      <c r="GE209" s="48"/>
      <c r="GF209" s="48"/>
      <c r="GG209" s="48"/>
      <c r="GH209" s="48"/>
      <c r="GI209" s="48"/>
      <c r="GJ209" s="48"/>
      <c r="GK209" s="48"/>
      <c r="GL209" s="48"/>
      <c r="GM209" s="48"/>
      <c r="GN209" s="48"/>
      <c r="GO209" s="48"/>
      <c r="GP209" s="48"/>
      <c r="GQ209" s="48"/>
      <c r="GR209" s="48"/>
      <c r="GS209" s="48"/>
      <c r="GT209" s="48"/>
      <c r="GU209" s="48"/>
      <c r="GV209" s="48"/>
      <c r="GW209" s="48"/>
      <c r="GX209" s="48"/>
      <c r="GY209" s="48"/>
      <c r="GZ209" s="48"/>
      <c r="HA209" s="48"/>
      <c r="HB209" s="48"/>
      <c r="HC209" s="48"/>
      <c r="HD209" s="48"/>
      <c r="HE209" s="48"/>
      <c r="HF209" s="48"/>
      <c r="HG209" s="48"/>
      <c r="HH209" s="48"/>
      <c r="HI209" s="48"/>
      <c r="HJ209" s="48"/>
      <c r="HK209" s="48"/>
      <c r="HL209" s="48"/>
      <c r="HM209" s="48"/>
      <c r="HN209" s="48"/>
      <c r="HO209" s="48"/>
      <c r="HP209" s="48"/>
      <c r="HQ209" s="48"/>
      <c r="HR209" s="48"/>
      <c r="HS209" s="48"/>
      <c r="HT209" s="48"/>
      <c r="HU209" s="48"/>
      <c r="HV209" s="48"/>
      <c r="HW209" s="48"/>
      <c r="HX209" s="48"/>
      <c r="HY209" s="48"/>
      <c r="HZ209" s="48"/>
      <c r="IA209" s="48"/>
      <c r="IB209" s="48"/>
      <c r="IC209" s="48"/>
      <c r="ID209" s="48"/>
      <c r="IE209" s="48"/>
      <c r="IF209" s="48"/>
      <c r="IG209" s="48"/>
      <c r="IH209" s="48"/>
      <c r="II209" s="48"/>
      <c r="IJ209" s="48"/>
      <c r="IK209" s="48"/>
      <c r="IL209" s="48"/>
      <c r="IM209" s="48"/>
      <c r="IN209" s="48"/>
      <c r="IO209" s="48"/>
      <c r="IP209" s="48"/>
      <c r="IQ209" s="48"/>
      <c r="IR209" s="48"/>
      <c r="IS209" s="48"/>
      <c r="IT209" s="48"/>
    </row>
    <row r="210" spans="1:254" s="47" customFormat="1" ht="14.25" customHeight="1">
      <c r="A210" s="8"/>
      <c r="C210" s="30"/>
      <c r="D210" s="15"/>
      <c r="E210" s="41"/>
      <c r="F210" s="17"/>
      <c r="G210" s="6"/>
      <c r="I210" s="8"/>
      <c r="K210" s="30"/>
      <c r="P210" s="13"/>
      <c r="Q210" s="28"/>
      <c r="S210" s="3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48"/>
      <c r="EJ210" s="48"/>
      <c r="EK210" s="48"/>
      <c r="EL210" s="48"/>
      <c r="EM210" s="48"/>
      <c r="EN210" s="48"/>
      <c r="EO210" s="48"/>
      <c r="EP210" s="48"/>
      <c r="EQ210" s="48"/>
      <c r="ER210" s="48"/>
      <c r="ES210" s="48"/>
      <c r="ET210" s="48"/>
      <c r="EU210" s="48"/>
      <c r="EV210" s="48"/>
      <c r="EW210" s="48"/>
      <c r="EX210" s="48"/>
      <c r="EY210" s="48"/>
      <c r="EZ210" s="48"/>
      <c r="FA210" s="48"/>
      <c r="FB210" s="48"/>
      <c r="FC210" s="48"/>
      <c r="FD210" s="48"/>
      <c r="FE210" s="48"/>
      <c r="FF210" s="48"/>
      <c r="FG210" s="48"/>
      <c r="FH210" s="48"/>
      <c r="FI210" s="48"/>
      <c r="FJ210" s="48"/>
      <c r="FK210" s="48"/>
      <c r="FL210" s="48"/>
      <c r="FM210" s="48"/>
      <c r="FN210" s="48"/>
      <c r="FO210" s="48"/>
      <c r="FP210" s="48"/>
      <c r="FQ210" s="48"/>
      <c r="FR210" s="48"/>
      <c r="FS210" s="48"/>
      <c r="FT210" s="48"/>
      <c r="FU210" s="48"/>
      <c r="FV210" s="48"/>
      <c r="FW210" s="48"/>
      <c r="FX210" s="48"/>
      <c r="FY210" s="48"/>
      <c r="FZ210" s="48"/>
      <c r="GA210" s="48"/>
      <c r="GB210" s="48"/>
      <c r="GC210" s="48"/>
      <c r="GD210" s="48"/>
      <c r="GE210" s="48"/>
      <c r="GF210" s="48"/>
      <c r="GG210" s="48"/>
      <c r="GH210" s="48"/>
      <c r="GI210" s="48"/>
      <c r="GJ210" s="48"/>
      <c r="GK210" s="48"/>
      <c r="GL210" s="48"/>
      <c r="GM210" s="48"/>
      <c r="GN210" s="48"/>
      <c r="GO210" s="48"/>
      <c r="GP210" s="48"/>
      <c r="GQ210" s="48"/>
      <c r="GR210" s="48"/>
      <c r="GS210" s="48"/>
      <c r="GT210" s="48"/>
      <c r="GU210" s="48"/>
      <c r="GV210" s="48"/>
      <c r="GW210" s="48"/>
      <c r="GX210" s="48"/>
      <c r="GY210" s="48"/>
      <c r="GZ210" s="48"/>
      <c r="HA210" s="48"/>
      <c r="HB210" s="48"/>
      <c r="HC210" s="48"/>
      <c r="HD210" s="48"/>
      <c r="HE210" s="48"/>
      <c r="HF210" s="48"/>
      <c r="HG210" s="48"/>
      <c r="HH210" s="48"/>
      <c r="HI210" s="48"/>
      <c r="HJ210" s="48"/>
      <c r="HK210" s="48"/>
      <c r="HL210" s="48"/>
      <c r="HM210" s="48"/>
      <c r="HN210" s="48"/>
      <c r="HO210" s="48"/>
      <c r="HP210" s="48"/>
      <c r="HQ210" s="48"/>
      <c r="HR210" s="48"/>
      <c r="HS210" s="48"/>
      <c r="HT210" s="48"/>
      <c r="HU210" s="48"/>
      <c r="HV210" s="48"/>
      <c r="HW210" s="48"/>
      <c r="HX210" s="48"/>
      <c r="HY210" s="48"/>
      <c r="HZ210" s="48"/>
      <c r="IA210" s="48"/>
      <c r="IB210" s="48"/>
      <c r="IC210" s="48"/>
      <c r="ID210" s="48"/>
      <c r="IE210" s="48"/>
      <c r="IF210" s="48"/>
      <c r="IG210" s="48"/>
      <c r="IH210" s="48"/>
      <c r="II210" s="48"/>
      <c r="IJ210" s="48"/>
      <c r="IK210" s="48"/>
      <c r="IL210" s="48"/>
      <c r="IM210" s="48"/>
      <c r="IN210" s="48"/>
      <c r="IO210" s="48"/>
      <c r="IP210" s="48"/>
      <c r="IQ210" s="48"/>
      <c r="IR210" s="48"/>
      <c r="IS210" s="48"/>
      <c r="IT210" s="48"/>
    </row>
    <row r="211" spans="1:254" s="47" customFormat="1" ht="14.25" customHeight="1">
      <c r="A211" s="57" t="s">
        <v>2</v>
      </c>
      <c r="B211" s="68"/>
      <c r="C211" s="71"/>
      <c r="D211" s="65"/>
      <c r="E211" s="57" t="s">
        <v>2</v>
      </c>
      <c r="F211" s="68"/>
      <c r="G211" s="71"/>
      <c r="I211" s="57" t="s">
        <v>2</v>
      </c>
      <c r="J211" s="68"/>
      <c r="K211" s="71"/>
      <c r="M211" s="11" t="s">
        <v>2</v>
      </c>
      <c r="N211" s="12"/>
      <c r="O211" s="9" t="s">
        <v>71</v>
      </c>
      <c r="P211" s="13"/>
      <c r="Q211" s="57" t="s">
        <v>2</v>
      </c>
      <c r="R211" s="65"/>
      <c r="S211" s="71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  <c r="EC211" s="48"/>
      <c r="ED211" s="48"/>
      <c r="EE211" s="48"/>
      <c r="EF211" s="48"/>
      <c r="EG211" s="48"/>
      <c r="EH211" s="48"/>
      <c r="EI211" s="48"/>
      <c r="EJ211" s="48"/>
      <c r="EK211" s="48"/>
      <c r="EL211" s="48"/>
      <c r="EM211" s="48"/>
      <c r="EN211" s="48"/>
      <c r="EO211" s="48"/>
      <c r="EP211" s="48"/>
      <c r="EQ211" s="48"/>
      <c r="ER211" s="48"/>
      <c r="ES211" s="48"/>
      <c r="ET211" s="48"/>
      <c r="EU211" s="48"/>
      <c r="EV211" s="48"/>
      <c r="EW211" s="48"/>
      <c r="EX211" s="48"/>
      <c r="EY211" s="48"/>
      <c r="EZ211" s="48"/>
      <c r="FA211" s="48"/>
      <c r="FB211" s="48"/>
      <c r="FC211" s="48"/>
      <c r="FD211" s="48"/>
      <c r="FE211" s="48"/>
      <c r="FF211" s="48"/>
      <c r="FG211" s="48"/>
      <c r="FH211" s="48"/>
      <c r="FI211" s="48"/>
      <c r="FJ211" s="48"/>
      <c r="FK211" s="48"/>
      <c r="FL211" s="48"/>
      <c r="FM211" s="48"/>
      <c r="FN211" s="48"/>
      <c r="FO211" s="48"/>
      <c r="FP211" s="48"/>
      <c r="FQ211" s="48"/>
      <c r="FR211" s="48"/>
      <c r="FS211" s="48"/>
      <c r="FT211" s="48"/>
      <c r="FU211" s="48"/>
      <c r="FV211" s="48"/>
      <c r="FW211" s="48"/>
      <c r="FX211" s="48"/>
      <c r="FY211" s="48"/>
      <c r="FZ211" s="48"/>
      <c r="GA211" s="48"/>
      <c r="GB211" s="48"/>
      <c r="GC211" s="48"/>
      <c r="GD211" s="48"/>
      <c r="GE211" s="48"/>
      <c r="GF211" s="48"/>
      <c r="GG211" s="48"/>
      <c r="GH211" s="48"/>
      <c r="GI211" s="48"/>
      <c r="GJ211" s="48"/>
      <c r="GK211" s="48"/>
      <c r="GL211" s="48"/>
      <c r="GM211" s="48"/>
      <c r="GN211" s="48"/>
      <c r="GO211" s="48"/>
      <c r="GP211" s="48"/>
      <c r="GQ211" s="48"/>
      <c r="GR211" s="48"/>
      <c r="GS211" s="48"/>
      <c r="GT211" s="48"/>
      <c r="GU211" s="48"/>
      <c r="GV211" s="48"/>
      <c r="GW211" s="48"/>
      <c r="GX211" s="48"/>
      <c r="GY211" s="48"/>
      <c r="GZ211" s="48"/>
      <c r="HA211" s="48"/>
      <c r="HB211" s="48"/>
      <c r="HC211" s="48"/>
      <c r="HD211" s="48"/>
      <c r="HE211" s="48"/>
      <c r="HF211" s="48"/>
      <c r="HG211" s="48"/>
      <c r="HH211" s="48"/>
      <c r="HI211" s="48"/>
      <c r="HJ211" s="48"/>
      <c r="HK211" s="48"/>
      <c r="HL211" s="48"/>
      <c r="HM211" s="48"/>
      <c r="HN211" s="48"/>
      <c r="HO211" s="48"/>
      <c r="HP211" s="48"/>
      <c r="HQ211" s="48"/>
      <c r="HR211" s="48"/>
      <c r="HS211" s="48"/>
      <c r="HT211" s="48"/>
      <c r="HU211" s="48"/>
      <c r="HV211" s="48"/>
      <c r="HW211" s="48"/>
      <c r="HX211" s="48"/>
      <c r="HY211" s="48"/>
      <c r="HZ211" s="48"/>
      <c r="IA211" s="48"/>
      <c r="IB211" s="48"/>
      <c r="IC211" s="48"/>
      <c r="ID211" s="48"/>
      <c r="IE211" s="48"/>
      <c r="IF211" s="48"/>
      <c r="IG211" s="48"/>
      <c r="IH211" s="48"/>
      <c r="II211" s="48"/>
      <c r="IJ211" s="48"/>
      <c r="IK211" s="48"/>
      <c r="IL211" s="48"/>
      <c r="IM211" s="48"/>
      <c r="IN211" s="48"/>
      <c r="IO211" s="48"/>
      <c r="IP211" s="48"/>
      <c r="IQ211" s="48"/>
      <c r="IR211" s="48"/>
      <c r="IS211" s="48"/>
      <c r="IT211" s="48"/>
    </row>
    <row r="212" spans="1:254" s="47" customFormat="1" ht="14.25" customHeight="1">
      <c r="A212" s="57" t="s">
        <v>5</v>
      </c>
      <c r="B212" s="68"/>
      <c r="C212" s="70" t="s">
        <v>183</v>
      </c>
      <c r="D212" s="65"/>
      <c r="E212" s="57" t="s">
        <v>5</v>
      </c>
      <c r="F212" s="68"/>
      <c r="G212" s="70" t="s">
        <v>183</v>
      </c>
      <c r="I212" s="57" t="s">
        <v>5</v>
      </c>
      <c r="J212" s="68"/>
      <c r="K212" s="70" t="s">
        <v>190</v>
      </c>
      <c r="M212" s="11" t="s">
        <v>5</v>
      </c>
      <c r="N212" s="12"/>
      <c r="O212" s="16" t="s">
        <v>190</v>
      </c>
      <c r="P212" s="13"/>
      <c r="Q212" s="57" t="s">
        <v>5</v>
      </c>
      <c r="R212" s="65"/>
      <c r="S212" s="70" t="s">
        <v>191</v>
      </c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48"/>
      <c r="EJ212" s="48"/>
      <c r="EK212" s="48"/>
      <c r="EL212" s="48"/>
      <c r="EM212" s="48"/>
      <c r="EN212" s="48"/>
      <c r="EO212" s="48"/>
      <c r="EP212" s="48"/>
      <c r="EQ212" s="48"/>
      <c r="ER212" s="48"/>
      <c r="ES212" s="48"/>
      <c r="ET212" s="48"/>
      <c r="EU212" s="48"/>
      <c r="EV212" s="48"/>
      <c r="EW212" s="48"/>
      <c r="EX212" s="48"/>
      <c r="EY212" s="48"/>
      <c r="EZ212" s="48"/>
      <c r="FA212" s="48"/>
      <c r="FB212" s="48"/>
      <c r="FC212" s="48"/>
      <c r="FD212" s="48"/>
      <c r="FE212" s="48"/>
      <c r="FF212" s="48"/>
      <c r="FG212" s="48"/>
      <c r="FH212" s="48"/>
      <c r="FI212" s="48"/>
      <c r="FJ212" s="48"/>
      <c r="FK212" s="48"/>
      <c r="FL212" s="48"/>
      <c r="FM212" s="48"/>
      <c r="FN212" s="48"/>
      <c r="FO212" s="48"/>
      <c r="FP212" s="48"/>
      <c r="FQ212" s="48"/>
      <c r="FR212" s="48"/>
      <c r="FS212" s="48"/>
      <c r="FT212" s="48"/>
      <c r="FU212" s="48"/>
      <c r="FV212" s="48"/>
      <c r="FW212" s="48"/>
      <c r="FX212" s="48"/>
      <c r="FY212" s="48"/>
      <c r="FZ212" s="48"/>
      <c r="GA212" s="48"/>
      <c r="GB212" s="48"/>
      <c r="GC212" s="48"/>
      <c r="GD212" s="48"/>
      <c r="GE212" s="48"/>
      <c r="GF212" s="48"/>
      <c r="GG212" s="48"/>
      <c r="GH212" s="48"/>
      <c r="GI212" s="48"/>
      <c r="GJ212" s="48"/>
      <c r="GK212" s="48"/>
      <c r="GL212" s="48"/>
      <c r="GM212" s="48"/>
      <c r="GN212" s="48"/>
      <c r="GO212" s="48"/>
      <c r="GP212" s="48"/>
      <c r="GQ212" s="48"/>
      <c r="GR212" s="48"/>
      <c r="GS212" s="48"/>
      <c r="GT212" s="48"/>
      <c r="GU212" s="48"/>
      <c r="GV212" s="48"/>
      <c r="GW212" s="48"/>
      <c r="GX212" s="48"/>
      <c r="GY212" s="48"/>
      <c r="GZ212" s="48"/>
      <c r="HA212" s="48"/>
      <c r="HB212" s="48"/>
      <c r="HC212" s="48"/>
      <c r="HD212" s="48"/>
      <c r="HE212" s="48"/>
      <c r="HF212" s="48"/>
      <c r="HG212" s="48"/>
      <c r="HH212" s="48"/>
      <c r="HI212" s="48"/>
      <c r="HJ212" s="48"/>
      <c r="HK212" s="48"/>
      <c r="HL212" s="48"/>
      <c r="HM212" s="48"/>
      <c r="HN212" s="48"/>
      <c r="HO212" s="48"/>
      <c r="HP212" s="48"/>
      <c r="HQ212" s="48"/>
      <c r="HR212" s="48"/>
      <c r="HS212" s="48"/>
      <c r="HT212" s="48"/>
      <c r="HU212" s="48"/>
      <c r="HV212" s="48"/>
      <c r="HW212" s="48"/>
      <c r="HX212" s="48"/>
      <c r="HY212" s="48"/>
      <c r="HZ212" s="48"/>
      <c r="IA212" s="48"/>
      <c r="IB212" s="48"/>
      <c r="IC212" s="48"/>
      <c r="ID212" s="48"/>
      <c r="IE212" s="48"/>
      <c r="IF212" s="48"/>
      <c r="IG212" s="48"/>
      <c r="IH212" s="48"/>
      <c r="II212" s="48"/>
      <c r="IJ212" s="48"/>
      <c r="IK212" s="48"/>
      <c r="IL212" s="48"/>
      <c r="IM212" s="48"/>
      <c r="IN212" s="48"/>
      <c r="IO212" s="48"/>
      <c r="IP212" s="48"/>
      <c r="IQ212" s="48"/>
      <c r="IR212" s="48"/>
      <c r="IS212" s="48"/>
      <c r="IT212" s="48"/>
    </row>
    <row r="213" spans="1:254" s="47" customFormat="1" ht="14.25" customHeight="1">
      <c r="A213" s="57" t="s">
        <v>8</v>
      </c>
      <c r="B213" s="68"/>
      <c r="C213" s="16" t="s">
        <v>188</v>
      </c>
      <c r="D213" s="65"/>
      <c r="E213" s="57" t="s">
        <v>8</v>
      </c>
      <c r="F213" s="68"/>
      <c r="G213" s="16" t="s">
        <v>188</v>
      </c>
      <c r="I213" s="57" t="s">
        <v>8</v>
      </c>
      <c r="J213" s="68"/>
      <c r="K213" s="69" t="s">
        <v>192</v>
      </c>
      <c r="M213" s="11" t="s">
        <v>8</v>
      </c>
      <c r="N213" s="12"/>
      <c r="O213" s="16" t="s">
        <v>193</v>
      </c>
      <c r="P213" s="13"/>
      <c r="Q213" s="57" t="s">
        <v>8</v>
      </c>
      <c r="R213" s="65"/>
      <c r="S213" s="69" t="s">
        <v>194</v>
      </c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  <c r="ET213" s="48"/>
      <c r="EU213" s="48"/>
      <c r="EV213" s="48"/>
      <c r="EW213" s="48"/>
      <c r="EX213" s="48"/>
      <c r="EY213" s="48"/>
      <c r="EZ213" s="48"/>
      <c r="FA213" s="48"/>
      <c r="FB213" s="48"/>
      <c r="FC213" s="48"/>
      <c r="FD213" s="48"/>
      <c r="FE213" s="48"/>
      <c r="FF213" s="48"/>
      <c r="FG213" s="48"/>
      <c r="FH213" s="48"/>
      <c r="FI213" s="48"/>
      <c r="FJ213" s="48"/>
      <c r="FK213" s="48"/>
      <c r="FL213" s="48"/>
      <c r="FM213" s="48"/>
      <c r="FN213" s="48"/>
      <c r="FO213" s="48"/>
      <c r="FP213" s="48"/>
      <c r="FQ213" s="48"/>
      <c r="FR213" s="48"/>
      <c r="FS213" s="48"/>
      <c r="FT213" s="48"/>
      <c r="FU213" s="48"/>
      <c r="FV213" s="48"/>
      <c r="FW213" s="48"/>
      <c r="FX213" s="48"/>
      <c r="FY213" s="48"/>
      <c r="FZ213" s="48"/>
      <c r="GA213" s="48"/>
      <c r="GB213" s="48"/>
      <c r="GC213" s="48"/>
      <c r="GD213" s="48"/>
      <c r="GE213" s="48"/>
      <c r="GF213" s="48"/>
      <c r="GG213" s="48"/>
      <c r="GH213" s="48"/>
      <c r="GI213" s="48"/>
      <c r="GJ213" s="48"/>
      <c r="GK213" s="48"/>
      <c r="GL213" s="48"/>
      <c r="GM213" s="48"/>
      <c r="GN213" s="48"/>
      <c r="GO213" s="48"/>
      <c r="GP213" s="48"/>
      <c r="GQ213" s="48"/>
      <c r="GR213" s="48"/>
      <c r="GS213" s="48"/>
      <c r="GT213" s="48"/>
      <c r="GU213" s="48"/>
      <c r="GV213" s="48"/>
      <c r="GW213" s="48"/>
      <c r="GX213" s="48"/>
      <c r="GY213" s="48"/>
      <c r="GZ213" s="48"/>
      <c r="HA213" s="48"/>
      <c r="HB213" s="48"/>
      <c r="HC213" s="48"/>
      <c r="HD213" s="48"/>
      <c r="HE213" s="48"/>
      <c r="HF213" s="48"/>
      <c r="HG213" s="48"/>
      <c r="HH213" s="48"/>
      <c r="HI213" s="48"/>
      <c r="HJ213" s="48"/>
      <c r="HK213" s="48"/>
      <c r="HL213" s="48"/>
      <c r="HM213" s="48"/>
      <c r="HN213" s="48"/>
      <c r="HO213" s="48"/>
      <c r="HP213" s="48"/>
      <c r="HQ213" s="48"/>
      <c r="HR213" s="48"/>
      <c r="HS213" s="48"/>
      <c r="HT213" s="48"/>
      <c r="HU213" s="48"/>
      <c r="HV213" s="48"/>
      <c r="HW213" s="48"/>
      <c r="HX213" s="48"/>
      <c r="HY213" s="48"/>
      <c r="HZ213" s="48"/>
      <c r="IA213" s="48"/>
      <c r="IB213" s="48"/>
      <c r="IC213" s="48"/>
      <c r="ID213" s="48"/>
      <c r="IE213" s="48"/>
      <c r="IF213" s="48"/>
      <c r="IG213" s="48"/>
      <c r="IH213" s="48"/>
      <c r="II213" s="48"/>
      <c r="IJ213" s="48"/>
      <c r="IK213" s="48"/>
      <c r="IL213" s="48"/>
      <c r="IM213" s="48"/>
      <c r="IN213" s="48"/>
      <c r="IO213" s="48"/>
      <c r="IP213" s="48"/>
      <c r="IQ213" s="48"/>
      <c r="IR213" s="48"/>
      <c r="IS213" s="48"/>
      <c r="IT213" s="48"/>
    </row>
    <row r="214" spans="1:254" s="47" customFormat="1" ht="14.25" customHeight="1">
      <c r="A214" s="57" t="s">
        <v>14</v>
      </c>
      <c r="B214" s="68"/>
      <c r="C214" s="67" t="s">
        <v>195</v>
      </c>
      <c r="D214" s="65"/>
      <c r="E214" s="57" t="s">
        <v>14</v>
      </c>
      <c r="F214" s="68"/>
      <c r="G214" s="67" t="s">
        <v>17</v>
      </c>
      <c r="I214" s="57" t="s">
        <v>14</v>
      </c>
      <c r="J214" s="68"/>
      <c r="K214" s="67" t="s">
        <v>17</v>
      </c>
      <c r="M214" s="11" t="s">
        <v>14</v>
      </c>
      <c r="N214" s="12"/>
      <c r="O214" s="9"/>
      <c r="P214" s="13"/>
      <c r="Q214" s="57" t="s">
        <v>14</v>
      </c>
      <c r="R214" s="68"/>
      <c r="S214" s="65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  <c r="ER214" s="48"/>
      <c r="ES214" s="48"/>
      <c r="ET214" s="48"/>
      <c r="EU214" s="48"/>
      <c r="EV214" s="48"/>
      <c r="EW214" s="48"/>
      <c r="EX214" s="48"/>
      <c r="EY214" s="48"/>
      <c r="EZ214" s="48"/>
      <c r="FA214" s="48"/>
      <c r="FB214" s="48"/>
      <c r="FC214" s="48"/>
      <c r="FD214" s="48"/>
      <c r="FE214" s="48"/>
      <c r="FF214" s="48"/>
      <c r="FG214" s="48"/>
      <c r="FH214" s="48"/>
      <c r="FI214" s="48"/>
      <c r="FJ214" s="48"/>
      <c r="FK214" s="48"/>
      <c r="FL214" s="48"/>
      <c r="FM214" s="48"/>
      <c r="FN214" s="48"/>
      <c r="FO214" s="48"/>
      <c r="FP214" s="48"/>
      <c r="FQ214" s="48"/>
      <c r="FR214" s="48"/>
      <c r="FS214" s="48"/>
      <c r="FT214" s="48"/>
      <c r="FU214" s="48"/>
      <c r="FV214" s="48"/>
      <c r="FW214" s="48"/>
      <c r="FX214" s="48"/>
      <c r="FY214" s="48"/>
      <c r="FZ214" s="48"/>
      <c r="GA214" s="48"/>
      <c r="GB214" s="48"/>
      <c r="GC214" s="48"/>
      <c r="GD214" s="48"/>
      <c r="GE214" s="48"/>
      <c r="GF214" s="48"/>
      <c r="GG214" s="48"/>
      <c r="GH214" s="48"/>
      <c r="GI214" s="48"/>
      <c r="GJ214" s="48"/>
      <c r="GK214" s="48"/>
      <c r="GL214" s="48"/>
      <c r="GM214" s="48"/>
      <c r="GN214" s="48"/>
      <c r="GO214" s="48"/>
      <c r="GP214" s="48"/>
      <c r="GQ214" s="48"/>
      <c r="GR214" s="48"/>
      <c r="GS214" s="48"/>
      <c r="GT214" s="48"/>
      <c r="GU214" s="48"/>
      <c r="GV214" s="48"/>
      <c r="GW214" s="48"/>
      <c r="GX214" s="48"/>
      <c r="GY214" s="48"/>
      <c r="GZ214" s="48"/>
      <c r="HA214" s="48"/>
      <c r="HB214" s="48"/>
      <c r="HC214" s="48"/>
      <c r="HD214" s="48"/>
      <c r="HE214" s="48"/>
      <c r="HF214" s="48"/>
      <c r="HG214" s="48"/>
      <c r="HH214" s="48"/>
      <c r="HI214" s="48"/>
      <c r="HJ214" s="48"/>
      <c r="HK214" s="48"/>
      <c r="HL214" s="48"/>
      <c r="HM214" s="48"/>
      <c r="HN214" s="48"/>
      <c r="HO214" s="48"/>
      <c r="HP214" s="48"/>
      <c r="HQ214" s="48"/>
      <c r="HR214" s="48"/>
      <c r="HS214" s="48"/>
      <c r="HT214" s="48"/>
      <c r="HU214" s="48"/>
      <c r="HV214" s="48"/>
      <c r="HW214" s="48"/>
      <c r="HX214" s="48"/>
      <c r="HY214" s="48"/>
      <c r="HZ214" s="48"/>
      <c r="IA214" s="48"/>
      <c r="IB214" s="48"/>
      <c r="IC214" s="48"/>
      <c r="ID214" s="48"/>
      <c r="IE214" s="48"/>
      <c r="IF214" s="48"/>
      <c r="IG214" s="48"/>
      <c r="IH214" s="48"/>
      <c r="II214" s="48"/>
      <c r="IJ214" s="48"/>
      <c r="IK214" s="48"/>
      <c r="IL214" s="48"/>
      <c r="IM214" s="48"/>
      <c r="IN214" s="48"/>
      <c r="IO214" s="48"/>
      <c r="IP214" s="48"/>
      <c r="IQ214" s="48"/>
      <c r="IR214" s="48"/>
      <c r="IS214" s="48"/>
      <c r="IT214" s="48"/>
    </row>
    <row r="215" spans="1:254" s="5" customFormat="1" ht="14.25" customHeight="1">
      <c r="A215" s="92" t="s">
        <v>20</v>
      </c>
      <c r="B215" s="92">
        <v>15</v>
      </c>
      <c r="C215" s="92">
        <f aca="true" t="shared" si="57" ref="C215:C220">B215/88.9*$C$221</f>
        <v>168.7289088863892</v>
      </c>
      <c r="D215" s="61"/>
      <c r="E215" s="92" t="s">
        <v>20</v>
      </c>
      <c r="F215" s="92">
        <v>15</v>
      </c>
      <c r="G215" s="92">
        <f>F215/89.5*$G$220</f>
        <v>167.59776536312847</v>
      </c>
      <c r="I215" s="61" t="s">
        <v>63</v>
      </c>
      <c r="J215" s="61">
        <v>21</v>
      </c>
      <c r="K215" s="61">
        <f aca="true" t="shared" si="58" ref="K215:K221">J215/82.4*$K$222</f>
        <v>254.85436893203882</v>
      </c>
      <c r="M215" s="5" t="s">
        <v>63</v>
      </c>
      <c r="N215" s="6">
        <v>20</v>
      </c>
      <c r="O215" s="32">
        <f aca="true" t="shared" si="59" ref="O215:O220">N215/78*$O$221</f>
        <v>256.4102564102564</v>
      </c>
      <c r="P215" s="6"/>
      <c r="Q215" s="92" t="s">
        <v>22</v>
      </c>
      <c r="R215" s="92">
        <v>65</v>
      </c>
      <c r="S215" s="92">
        <f aca="true" t="shared" si="60" ref="S215:S221">R215/94.5*$S$222</f>
        <v>687.8306878306878</v>
      </c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  <c r="ET215" s="48"/>
      <c r="EU215" s="48"/>
      <c r="EV215" s="48"/>
      <c r="EW215" s="48"/>
      <c r="EX215" s="48"/>
      <c r="EY215" s="48"/>
      <c r="EZ215" s="48"/>
      <c r="FA215" s="48"/>
      <c r="FB215" s="48"/>
      <c r="FC215" s="48"/>
      <c r="FD215" s="48"/>
      <c r="FE215" s="48"/>
      <c r="FF215" s="48"/>
      <c r="FG215" s="48"/>
      <c r="FH215" s="48"/>
      <c r="FI215" s="48"/>
      <c r="FJ215" s="48"/>
      <c r="FK215" s="48"/>
      <c r="FL215" s="48"/>
      <c r="FM215" s="48"/>
      <c r="FN215" s="48"/>
      <c r="FO215" s="48"/>
      <c r="FP215" s="48"/>
      <c r="FQ215" s="48"/>
      <c r="FR215" s="48"/>
      <c r="FS215" s="48"/>
      <c r="FT215" s="48"/>
      <c r="FU215" s="48"/>
      <c r="FV215" s="48"/>
      <c r="FW215" s="48"/>
      <c r="FX215" s="48"/>
      <c r="FY215" s="48"/>
      <c r="FZ215" s="48"/>
      <c r="GA215" s="48"/>
      <c r="GB215" s="48"/>
      <c r="GC215" s="48"/>
      <c r="GD215" s="48"/>
      <c r="GE215" s="48"/>
      <c r="GF215" s="48"/>
      <c r="GG215" s="48"/>
      <c r="GH215" s="48"/>
      <c r="GI215" s="48"/>
      <c r="GJ215" s="48"/>
      <c r="GK215" s="48"/>
      <c r="GL215" s="48"/>
      <c r="GM215" s="48"/>
      <c r="GN215" s="48"/>
      <c r="GO215" s="48"/>
      <c r="GP215" s="48"/>
      <c r="GQ215" s="48"/>
      <c r="GR215" s="48"/>
      <c r="GS215" s="48"/>
      <c r="GT215" s="48"/>
      <c r="GU215" s="48"/>
      <c r="GV215" s="48"/>
      <c r="GW215" s="48"/>
      <c r="GX215" s="48"/>
      <c r="GY215" s="48"/>
      <c r="GZ215" s="48"/>
      <c r="HA215" s="48"/>
      <c r="HB215" s="48"/>
      <c r="HC215" s="48"/>
      <c r="HD215" s="48"/>
      <c r="HE215" s="48"/>
      <c r="HF215" s="48"/>
      <c r="HG215" s="48"/>
      <c r="HH215" s="48"/>
      <c r="HI215" s="48"/>
      <c r="HJ215" s="48"/>
      <c r="HK215" s="48"/>
      <c r="HL215" s="48"/>
      <c r="HM215" s="48"/>
      <c r="HN215" s="48"/>
      <c r="HO215" s="48"/>
      <c r="HP215" s="48"/>
      <c r="HQ215" s="48"/>
      <c r="HR215" s="48"/>
      <c r="HS215" s="48"/>
      <c r="HT215" s="48"/>
      <c r="HU215" s="48"/>
      <c r="HV215" s="48"/>
      <c r="HW215" s="48"/>
      <c r="HX215" s="48"/>
      <c r="HY215" s="48"/>
      <c r="HZ215" s="48"/>
      <c r="IA215" s="48"/>
      <c r="IB215" s="48"/>
      <c r="IC215" s="48"/>
      <c r="ID215" s="48"/>
      <c r="IE215" s="48"/>
      <c r="IF215" s="48"/>
      <c r="IG215" s="48"/>
      <c r="IH215" s="48"/>
      <c r="II215" s="48"/>
      <c r="IJ215" s="48"/>
      <c r="IK215" s="48"/>
      <c r="IL215" s="48"/>
      <c r="IM215" s="48"/>
      <c r="IN215" s="48"/>
      <c r="IO215" s="48"/>
      <c r="IP215" s="48"/>
      <c r="IQ215" s="48"/>
      <c r="IR215" s="48"/>
      <c r="IS215" s="48"/>
      <c r="IT215" s="48"/>
    </row>
    <row r="216" spans="1:254" s="5" customFormat="1" ht="14.25" customHeight="1">
      <c r="A216" s="92" t="s">
        <v>22</v>
      </c>
      <c r="B216" s="92">
        <v>69</v>
      </c>
      <c r="C216" s="92">
        <f t="shared" si="57"/>
        <v>776.1529808773903</v>
      </c>
      <c r="D216" s="61"/>
      <c r="E216" s="92" t="s">
        <v>22</v>
      </c>
      <c r="F216" s="92">
        <v>69</v>
      </c>
      <c r="G216" s="92">
        <f>F216/89.5*$G$220</f>
        <v>770.949720670391</v>
      </c>
      <c r="I216" s="61" t="s">
        <v>53</v>
      </c>
      <c r="J216" s="61">
        <v>12</v>
      </c>
      <c r="K216" s="61">
        <f t="shared" si="58"/>
        <v>145.63106796116503</v>
      </c>
      <c r="M216" s="5" t="s">
        <v>62</v>
      </c>
      <c r="N216" s="6">
        <v>22</v>
      </c>
      <c r="O216" s="32">
        <f t="shared" si="59"/>
        <v>282.05128205128204</v>
      </c>
      <c r="P216" s="6"/>
      <c r="Q216" s="92" t="s">
        <v>23</v>
      </c>
      <c r="R216" s="92">
        <v>18</v>
      </c>
      <c r="S216" s="92">
        <f t="shared" si="60"/>
        <v>190.47619047619045</v>
      </c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  <c r="EB216" s="48"/>
      <c r="EC216" s="48"/>
      <c r="ED216" s="48"/>
      <c r="EE216" s="48"/>
      <c r="EF216" s="48"/>
      <c r="EG216" s="48"/>
      <c r="EH216" s="48"/>
      <c r="EI216" s="48"/>
      <c r="EJ216" s="48"/>
      <c r="EK216" s="48"/>
      <c r="EL216" s="48"/>
      <c r="EM216" s="48"/>
      <c r="EN216" s="48"/>
      <c r="EO216" s="48"/>
      <c r="EP216" s="48"/>
      <c r="EQ216" s="48"/>
      <c r="ER216" s="48"/>
      <c r="ES216" s="48"/>
      <c r="ET216" s="48"/>
      <c r="EU216" s="48"/>
      <c r="EV216" s="48"/>
      <c r="EW216" s="48"/>
      <c r="EX216" s="48"/>
      <c r="EY216" s="48"/>
      <c r="EZ216" s="48"/>
      <c r="FA216" s="48"/>
      <c r="FB216" s="48"/>
      <c r="FC216" s="48"/>
      <c r="FD216" s="48"/>
      <c r="FE216" s="48"/>
      <c r="FF216" s="48"/>
      <c r="FG216" s="48"/>
      <c r="FH216" s="48"/>
      <c r="FI216" s="48"/>
      <c r="FJ216" s="48"/>
      <c r="FK216" s="48"/>
      <c r="FL216" s="48"/>
      <c r="FM216" s="48"/>
      <c r="FN216" s="48"/>
      <c r="FO216" s="48"/>
      <c r="FP216" s="48"/>
      <c r="FQ216" s="48"/>
      <c r="FR216" s="48"/>
      <c r="FS216" s="48"/>
      <c r="FT216" s="48"/>
      <c r="FU216" s="48"/>
      <c r="FV216" s="48"/>
      <c r="FW216" s="48"/>
      <c r="FX216" s="48"/>
      <c r="FY216" s="48"/>
      <c r="FZ216" s="48"/>
      <c r="GA216" s="48"/>
      <c r="GB216" s="48"/>
      <c r="GC216" s="48"/>
      <c r="GD216" s="48"/>
      <c r="GE216" s="48"/>
      <c r="GF216" s="48"/>
      <c r="GG216" s="48"/>
      <c r="GH216" s="48"/>
      <c r="GI216" s="48"/>
      <c r="GJ216" s="48"/>
      <c r="GK216" s="48"/>
      <c r="GL216" s="48"/>
      <c r="GM216" s="48"/>
      <c r="GN216" s="48"/>
      <c r="GO216" s="48"/>
      <c r="GP216" s="48"/>
      <c r="GQ216" s="48"/>
      <c r="GR216" s="48"/>
      <c r="GS216" s="48"/>
      <c r="GT216" s="48"/>
      <c r="GU216" s="48"/>
      <c r="GV216" s="48"/>
      <c r="GW216" s="48"/>
      <c r="GX216" s="48"/>
      <c r="GY216" s="48"/>
      <c r="GZ216" s="48"/>
      <c r="HA216" s="48"/>
      <c r="HB216" s="48"/>
      <c r="HC216" s="48"/>
      <c r="HD216" s="48"/>
      <c r="HE216" s="48"/>
      <c r="HF216" s="48"/>
      <c r="HG216" s="48"/>
      <c r="HH216" s="48"/>
      <c r="HI216" s="48"/>
      <c r="HJ216" s="48"/>
      <c r="HK216" s="48"/>
      <c r="HL216" s="48"/>
      <c r="HM216" s="48"/>
      <c r="HN216" s="48"/>
      <c r="HO216" s="48"/>
      <c r="HP216" s="48"/>
      <c r="HQ216" s="48"/>
      <c r="HR216" s="48"/>
      <c r="HS216" s="48"/>
      <c r="HT216" s="48"/>
      <c r="HU216" s="48"/>
      <c r="HV216" s="48"/>
      <c r="HW216" s="48"/>
      <c r="HX216" s="48"/>
      <c r="HY216" s="48"/>
      <c r="HZ216" s="48"/>
      <c r="IA216" s="48"/>
      <c r="IB216" s="48"/>
      <c r="IC216" s="48"/>
      <c r="ID216" s="48"/>
      <c r="IE216" s="48"/>
      <c r="IF216" s="48"/>
      <c r="IG216" s="48"/>
      <c r="IH216" s="48"/>
      <c r="II216" s="48"/>
      <c r="IJ216" s="48"/>
      <c r="IK216" s="48"/>
      <c r="IL216" s="48"/>
      <c r="IM216" s="48"/>
      <c r="IN216" s="48"/>
      <c r="IO216" s="48"/>
      <c r="IP216" s="48"/>
      <c r="IQ216" s="48"/>
      <c r="IR216" s="48"/>
      <c r="IS216" s="48"/>
      <c r="IT216" s="48"/>
    </row>
    <row r="217" spans="1:254" s="5" customFormat="1" ht="14.25" customHeight="1">
      <c r="A217" s="92" t="s">
        <v>24</v>
      </c>
      <c r="B217" s="92">
        <v>0.2</v>
      </c>
      <c r="C217" s="92">
        <f t="shared" si="57"/>
        <v>2.2497187851518556</v>
      </c>
      <c r="D217" s="61"/>
      <c r="E217" s="92" t="s">
        <v>24</v>
      </c>
      <c r="F217" s="92">
        <v>0.25</v>
      </c>
      <c r="G217" s="92">
        <f>F217/89.5*$G$220</f>
        <v>2.793296089385475</v>
      </c>
      <c r="I217" s="61" t="s">
        <v>54</v>
      </c>
      <c r="J217" s="61">
        <v>13.8</v>
      </c>
      <c r="K217" s="61">
        <f t="shared" si="58"/>
        <v>167.47572815533982</v>
      </c>
      <c r="M217" s="5" t="s">
        <v>53</v>
      </c>
      <c r="N217" s="6">
        <v>12</v>
      </c>
      <c r="O217" s="32">
        <f t="shared" si="59"/>
        <v>153.84615384615387</v>
      </c>
      <c r="P217" s="6"/>
      <c r="Q217" s="92" t="s">
        <v>27</v>
      </c>
      <c r="R217" s="92">
        <v>3</v>
      </c>
      <c r="S217" s="92">
        <f t="shared" si="60"/>
        <v>31.746031746031743</v>
      </c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  <c r="EB217" s="48"/>
      <c r="EC217" s="48"/>
      <c r="ED217" s="48"/>
      <c r="EE217" s="48"/>
      <c r="EF217" s="48"/>
      <c r="EG217" s="48"/>
      <c r="EH217" s="48"/>
      <c r="EI217" s="48"/>
      <c r="EJ217" s="48"/>
      <c r="EK217" s="48"/>
      <c r="EL217" s="48"/>
      <c r="EM217" s="48"/>
      <c r="EN217" s="48"/>
      <c r="EO217" s="48"/>
      <c r="EP217" s="48"/>
      <c r="EQ217" s="48"/>
      <c r="ER217" s="48"/>
      <c r="ES217" s="48"/>
      <c r="ET217" s="48"/>
      <c r="EU217" s="48"/>
      <c r="EV217" s="48"/>
      <c r="EW217" s="48"/>
      <c r="EX217" s="48"/>
      <c r="EY217" s="48"/>
      <c r="EZ217" s="48"/>
      <c r="FA217" s="48"/>
      <c r="FB217" s="48"/>
      <c r="FC217" s="48"/>
      <c r="FD217" s="48"/>
      <c r="FE217" s="48"/>
      <c r="FF217" s="48"/>
      <c r="FG217" s="48"/>
      <c r="FH217" s="48"/>
      <c r="FI217" s="48"/>
      <c r="FJ217" s="48"/>
      <c r="FK217" s="48"/>
      <c r="FL217" s="48"/>
      <c r="FM217" s="48"/>
      <c r="FN217" s="48"/>
      <c r="FO217" s="48"/>
      <c r="FP217" s="48"/>
      <c r="FQ217" s="48"/>
      <c r="FR217" s="48"/>
      <c r="FS217" s="48"/>
      <c r="FT217" s="48"/>
      <c r="FU217" s="48"/>
      <c r="FV217" s="48"/>
      <c r="FW217" s="48"/>
      <c r="FX217" s="48"/>
      <c r="FY217" s="48"/>
      <c r="FZ217" s="48"/>
      <c r="GA217" s="48"/>
      <c r="GB217" s="48"/>
      <c r="GC217" s="48"/>
      <c r="GD217" s="48"/>
      <c r="GE217" s="48"/>
      <c r="GF217" s="48"/>
      <c r="GG217" s="48"/>
      <c r="GH217" s="48"/>
      <c r="GI217" s="48"/>
      <c r="GJ217" s="48"/>
      <c r="GK217" s="48"/>
      <c r="GL217" s="48"/>
      <c r="GM217" s="48"/>
      <c r="GN217" s="48"/>
      <c r="GO217" s="48"/>
      <c r="GP217" s="48"/>
      <c r="GQ217" s="48"/>
      <c r="GR217" s="48"/>
      <c r="GS217" s="48"/>
      <c r="GT217" s="48"/>
      <c r="GU217" s="48"/>
      <c r="GV217" s="48"/>
      <c r="GW217" s="48"/>
      <c r="GX217" s="48"/>
      <c r="GY217" s="48"/>
      <c r="GZ217" s="48"/>
      <c r="HA217" s="48"/>
      <c r="HB217" s="48"/>
      <c r="HC217" s="48"/>
      <c r="HD217" s="48"/>
      <c r="HE217" s="48"/>
      <c r="HF217" s="48"/>
      <c r="HG217" s="48"/>
      <c r="HH217" s="48"/>
      <c r="HI217" s="48"/>
      <c r="HJ217" s="48"/>
      <c r="HK217" s="48"/>
      <c r="HL217" s="48"/>
      <c r="HM217" s="48"/>
      <c r="HN217" s="48"/>
      <c r="HO217" s="48"/>
      <c r="HP217" s="48"/>
      <c r="HQ217" s="48"/>
      <c r="HR217" s="48"/>
      <c r="HS217" s="48"/>
      <c r="HT217" s="48"/>
      <c r="HU217" s="48"/>
      <c r="HV217" s="48"/>
      <c r="HW217" s="48"/>
      <c r="HX217" s="48"/>
      <c r="HY217" s="48"/>
      <c r="HZ217" s="48"/>
      <c r="IA217" s="48"/>
      <c r="IB217" s="48"/>
      <c r="IC217" s="48"/>
      <c r="ID217" s="48"/>
      <c r="IE217" s="48"/>
      <c r="IF217" s="48"/>
      <c r="IG217" s="48"/>
      <c r="IH217" s="48"/>
      <c r="II217" s="48"/>
      <c r="IJ217" s="48"/>
      <c r="IK217" s="48"/>
      <c r="IL217" s="48"/>
      <c r="IM217" s="48"/>
      <c r="IN217" s="48"/>
      <c r="IO217" s="48"/>
      <c r="IP217" s="48"/>
      <c r="IQ217" s="48"/>
      <c r="IR217" s="48"/>
      <c r="IS217" s="48"/>
      <c r="IT217" s="48"/>
    </row>
    <row r="218" spans="1:254" s="5" customFormat="1" ht="14.25" customHeight="1">
      <c r="A218" s="92" t="s">
        <v>33</v>
      </c>
      <c r="B218" s="92">
        <v>0.1</v>
      </c>
      <c r="C218" s="92">
        <f t="shared" si="57"/>
        <v>1.1248593925759278</v>
      </c>
      <c r="D218" s="61"/>
      <c r="E218" s="92" t="s">
        <v>51</v>
      </c>
      <c r="F218" s="92">
        <v>1.25</v>
      </c>
      <c r="G218" s="92">
        <f>F218/89.5*$G$220</f>
        <v>13.966480446927374</v>
      </c>
      <c r="I218" s="61" t="s">
        <v>62</v>
      </c>
      <c r="J218" s="61">
        <v>19.4</v>
      </c>
      <c r="K218" s="61">
        <f t="shared" si="58"/>
        <v>235.43689320388347</v>
      </c>
      <c r="M218" s="5" t="s">
        <v>29</v>
      </c>
      <c r="N218" s="6">
        <v>0.5</v>
      </c>
      <c r="O218" s="32">
        <f t="shared" si="59"/>
        <v>6.41025641025641</v>
      </c>
      <c r="P218" s="6"/>
      <c r="Q218" s="92" t="s">
        <v>98</v>
      </c>
      <c r="R218" s="92">
        <v>1</v>
      </c>
      <c r="S218" s="92">
        <f t="shared" si="60"/>
        <v>10.582010582010582</v>
      </c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  <c r="EB218" s="48"/>
      <c r="EC218" s="48"/>
      <c r="ED218" s="48"/>
      <c r="EE218" s="48"/>
      <c r="EF218" s="48"/>
      <c r="EG218" s="48"/>
      <c r="EH218" s="48"/>
      <c r="EI218" s="48"/>
      <c r="EJ218" s="48"/>
      <c r="EK218" s="48"/>
      <c r="EL218" s="48"/>
      <c r="EM218" s="48"/>
      <c r="EN218" s="48"/>
      <c r="EO218" s="48"/>
      <c r="EP218" s="48"/>
      <c r="EQ218" s="48"/>
      <c r="ER218" s="48"/>
      <c r="ES218" s="48"/>
      <c r="ET218" s="48"/>
      <c r="EU218" s="48"/>
      <c r="EV218" s="48"/>
      <c r="EW218" s="48"/>
      <c r="EX218" s="48"/>
      <c r="EY218" s="48"/>
      <c r="EZ218" s="48"/>
      <c r="FA218" s="48"/>
      <c r="FB218" s="48"/>
      <c r="FC218" s="48"/>
      <c r="FD218" s="48"/>
      <c r="FE218" s="48"/>
      <c r="FF218" s="48"/>
      <c r="FG218" s="48"/>
      <c r="FH218" s="48"/>
      <c r="FI218" s="48"/>
      <c r="FJ218" s="48"/>
      <c r="FK218" s="48"/>
      <c r="FL218" s="48"/>
      <c r="FM218" s="48"/>
      <c r="FN218" s="48"/>
      <c r="FO218" s="48"/>
      <c r="FP218" s="48"/>
      <c r="FQ218" s="48"/>
      <c r="FR218" s="48"/>
      <c r="FS218" s="48"/>
      <c r="FT218" s="48"/>
      <c r="FU218" s="48"/>
      <c r="FV218" s="48"/>
      <c r="FW218" s="48"/>
      <c r="FX218" s="48"/>
      <c r="FY218" s="48"/>
      <c r="FZ218" s="48"/>
      <c r="GA218" s="48"/>
      <c r="GB218" s="48"/>
      <c r="GC218" s="48"/>
      <c r="GD218" s="48"/>
      <c r="GE218" s="48"/>
      <c r="GF218" s="48"/>
      <c r="GG218" s="48"/>
      <c r="GH218" s="48"/>
      <c r="GI218" s="48"/>
      <c r="GJ218" s="48"/>
      <c r="GK218" s="48"/>
      <c r="GL218" s="48"/>
      <c r="GM218" s="48"/>
      <c r="GN218" s="48"/>
      <c r="GO218" s="48"/>
      <c r="GP218" s="48"/>
      <c r="GQ218" s="48"/>
      <c r="GR218" s="48"/>
      <c r="GS218" s="48"/>
      <c r="GT218" s="48"/>
      <c r="GU218" s="48"/>
      <c r="GV218" s="48"/>
      <c r="GW218" s="48"/>
      <c r="GX218" s="48"/>
      <c r="GY218" s="48"/>
      <c r="GZ218" s="48"/>
      <c r="HA218" s="48"/>
      <c r="HB218" s="48"/>
      <c r="HC218" s="48"/>
      <c r="HD218" s="48"/>
      <c r="HE218" s="48"/>
      <c r="HF218" s="48"/>
      <c r="HG218" s="48"/>
      <c r="HH218" s="48"/>
      <c r="HI218" s="48"/>
      <c r="HJ218" s="48"/>
      <c r="HK218" s="48"/>
      <c r="HL218" s="48"/>
      <c r="HM218" s="48"/>
      <c r="HN218" s="48"/>
      <c r="HO218" s="48"/>
      <c r="HP218" s="48"/>
      <c r="HQ218" s="48"/>
      <c r="HR218" s="48"/>
      <c r="HS218" s="48"/>
      <c r="HT218" s="48"/>
      <c r="HU218" s="48"/>
      <c r="HV218" s="48"/>
      <c r="HW218" s="48"/>
      <c r="HX218" s="48"/>
      <c r="HY218" s="48"/>
      <c r="HZ218" s="48"/>
      <c r="IA218" s="48"/>
      <c r="IB218" s="48"/>
      <c r="IC218" s="48"/>
      <c r="ID218" s="48"/>
      <c r="IE218" s="48"/>
      <c r="IF218" s="48"/>
      <c r="IG218" s="48"/>
      <c r="IH218" s="48"/>
      <c r="II218" s="48"/>
      <c r="IJ218" s="48"/>
      <c r="IK218" s="48"/>
      <c r="IL218" s="48"/>
      <c r="IM218" s="48"/>
      <c r="IN218" s="48"/>
      <c r="IO218" s="48"/>
      <c r="IP218" s="48"/>
      <c r="IQ218" s="48"/>
      <c r="IR218" s="48"/>
      <c r="IS218" s="48"/>
      <c r="IT218" s="48"/>
    </row>
    <row r="219" spans="1:254" s="5" customFormat="1" ht="14.25" customHeight="1">
      <c r="A219" s="92" t="s">
        <v>51</v>
      </c>
      <c r="B219" s="92">
        <v>0.6</v>
      </c>
      <c r="C219" s="92">
        <f t="shared" si="57"/>
        <v>6.749156355455567</v>
      </c>
      <c r="D219" s="61"/>
      <c r="E219" s="92" t="s">
        <v>28</v>
      </c>
      <c r="F219" s="92">
        <v>4</v>
      </c>
      <c r="G219" s="92">
        <f>F219/89.5*$G$220</f>
        <v>44.6927374301676</v>
      </c>
      <c r="I219" s="61" t="s">
        <v>196</v>
      </c>
      <c r="J219" s="61">
        <v>14.4</v>
      </c>
      <c r="K219" s="61">
        <f t="shared" si="58"/>
        <v>174.75728155339806</v>
      </c>
      <c r="M219" s="5" t="s">
        <v>196</v>
      </c>
      <c r="N219" s="6">
        <v>15</v>
      </c>
      <c r="O219" s="32">
        <f t="shared" si="59"/>
        <v>192.30769230769232</v>
      </c>
      <c r="P219" s="6"/>
      <c r="Q219" s="92" t="s">
        <v>51</v>
      </c>
      <c r="R219" s="92">
        <v>2</v>
      </c>
      <c r="S219" s="92">
        <f t="shared" si="60"/>
        <v>21.164021164021165</v>
      </c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48"/>
      <c r="EY219" s="48"/>
      <c r="EZ219" s="48"/>
      <c r="FA219" s="48"/>
      <c r="FB219" s="48"/>
      <c r="FC219" s="48"/>
      <c r="FD219" s="48"/>
      <c r="FE219" s="48"/>
      <c r="FF219" s="48"/>
      <c r="FG219" s="48"/>
      <c r="FH219" s="48"/>
      <c r="FI219" s="48"/>
      <c r="FJ219" s="48"/>
      <c r="FK219" s="48"/>
      <c r="FL219" s="48"/>
      <c r="FM219" s="48"/>
      <c r="FN219" s="48"/>
      <c r="FO219" s="48"/>
      <c r="FP219" s="48"/>
      <c r="FQ219" s="48"/>
      <c r="FR219" s="48"/>
      <c r="FS219" s="48"/>
      <c r="FT219" s="48"/>
      <c r="FU219" s="48"/>
      <c r="FV219" s="48"/>
      <c r="FW219" s="48"/>
      <c r="FX219" s="48"/>
      <c r="FY219" s="48"/>
      <c r="FZ219" s="48"/>
      <c r="GA219" s="48"/>
      <c r="GB219" s="48"/>
      <c r="GC219" s="48"/>
      <c r="GD219" s="48"/>
      <c r="GE219" s="48"/>
      <c r="GF219" s="48"/>
      <c r="GG219" s="48"/>
      <c r="GH219" s="48"/>
      <c r="GI219" s="48"/>
      <c r="GJ219" s="48"/>
      <c r="GK219" s="48"/>
      <c r="GL219" s="48"/>
      <c r="GM219" s="48"/>
      <c r="GN219" s="48"/>
      <c r="GO219" s="48"/>
      <c r="GP219" s="48"/>
      <c r="GQ219" s="48"/>
      <c r="GR219" s="48"/>
      <c r="GS219" s="48"/>
      <c r="GT219" s="48"/>
      <c r="GU219" s="48"/>
      <c r="GV219" s="48"/>
      <c r="GW219" s="48"/>
      <c r="GX219" s="48"/>
      <c r="GY219" s="48"/>
      <c r="GZ219" s="48"/>
      <c r="HA219" s="48"/>
      <c r="HB219" s="48"/>
      <c r="HC219" s="48"/>
      <c r="HD219" s="48"/>
      <c r="HE219" s="48"/>
      <c r="HF219" s="48"/>
      <c r="HG219" s="48"/>
      <c r="HH219" s="48"/>
      <c r="HI219" s="48"/>
      <c r="HJ219" s="48"/>
      <c r="HK219" s="48"/>
      <c r="HL219" s="48"/>
      <c r="HM219" s="48"/>
      <c r="HN219" s="48"/>
      <c r="HO219" s="48"/>
      <c r="HP219" s="48"/>
      <c r="HQ219" s="48"/>
      <c r="HR219" s="48"/>
      <c r="HS219" s="48"/>
      <c r="HT219" s="48"/>
      <c r="HU219" s="48"/>
      <c r="HV219" s="48"/>
      <c r="HW219" s="48"/>
      <c r="HX219" s="48"/>
      <c r="HY219" s="48"/>
      <c r="HZ219" s="48"/>
      <c r="IA219" s="48"/>
      <c r="IB219" s="48"/>
      <c r="IC219" s="48"/>
      <c r="ID219" s="48"/>
      <c r="IE219" s="48"/>
      <c r="IF219" s="48"/>
      <c r="IG219" s="48"/>
      <c r="IH219" s="48"/>
      <c r="II219" s="48"/>
      <c r="IJ219" s="48"/>
      <c r="IK219" s="48"/>
      <c r="IL219" s="48"/>
      <c r="IM219" s="48"/>
      <c r="IN219" s="48"/>
      <c r="IO219" s="48"/>
      <c r="IP219" s="48"/>
      <c r="IQ219" s="48"/>
      <c r="IR219" s="48"/>
      <c r="IS219" s="48"/>
      <c r="IT219" s="48"/>
    </row>
    <row r="220" spans="1:254" s="5" customFormat="1" ht="14.25" customHeight="1">
      <c r="A220" s="92" t="s">
        <v>28</v>
      </c>
      <c r="B220" s="92">
        <v>4</v>
      </c>
      <c r="C220" s="92">
        <f t="shared" si="57"/>
        <v>44.994375703037115</v>
      </c>
      <c r="D220" s="61"/>
      <c r="E220" s="91" t="s">
        <v>30</v>
      </c>
      <c r="F220" s="67"/>
      <c r="G220" s="91">
        <v>1000</v>
      </c>
      <c r="I220" s="61" t="s">
        <v>31</v>
      </c>
      <c r="J220" s="61">
        <v>1.2</v>
      </c>
      <c r="K220" s="61">
        <f t="shared" si="58"/>
        <v>14.563106796116504</v>
      </c>
      <c r="M220" s="5" t="s">
        <v>54</v>
      </c>
      <c r="N220" s="6">
        <v>8.5</v>
      </c>
      <c r="O220" s="32">
        <f t="shared" si="59"/>
        <v>108.97435897435898</v>
      </c>
      <c r="P220" s="6"/>
      <c r="Q220" s="92" t="s">
        <v>33</v>
      </c>
      <c r="R220" s="92">
        <v>0.5</v>
      </c>
      <c r="S220" s="92">
        <f t="shared" si="60"/>
        <v>5.291005291005291</v>
      </c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  <c r="EB220" s="48"/>
      <c r="EC220" s="48"/>
      <c r="ED220" s="48"/>
      <c r="EE220" s="48"/>
      <c r="EF220" s="48"/>
      <c r="EG220" s="48"/>
      <c r="EH220" s="48"/>
      <c r="EI220" s="48"/>
      <c r="EJ220" s="48"/>
      <c r="EK220" s="48"/>
      <c r="EL220" s="48"/>
      <c r="EM220" s="48"/>
      <c r="EN220" s="48"/>
      <c r="EO220" s="48"/>
      <c r="EP220" s="48"/>
      <c r="EQ220" s="48"/>
      <c r="ER220" s="48"/>
      <c r="ES220" s="48"/>
      <c r="ET220" s="48"/>
      <c r="EU220" s="48"/>
      <c r="EV220" s="48"/>
      <c r="EW220" s="48"/>
      <c r="EX220" s="48"/>
      <c r="EY220" s="48"/>
      <c r="EZ220" s="48"/>
      <c r="FA220" s="48"/>
      <c r="FB220" s="48"/>
      <c r="FC220" s="48"/>
      <c r="FD220" s="48"/>
      <c r="FE220" s="48"/>
      <c r="FF220" s="48"/>
      <c r="FG220" s="48"/>
      <c r="FH220" s="48"/>
      <c r="FI220" s="48"/>
      <c r="FJ220" s="48"/>
      <c r="FK220" s="48"/>
      <c r="FL220" s="48"/>
      <c r="FM220" s="48"/>
      <c r="FN220" s="48"/>
      <c r="FO220" s="48"/>
      <c r="FP220" s="48"/>
      <c r="FQ220" s="48"/>
      <c r="FR220" s="48"/>
      <c r="FS220" s="48"/>
      <c r="FT220" s="48"/>
      <c r="FU220" s="48"/>
      <c r="FV220" s="48"/>
      <c r="FW220" s="48"/>
      <c r="FX220" s="48"/>
      <c r="FY220" s="48"/>
      <c r="FZ220" s="48"/>
      <c r="GA220" s="48"/>
      <c r="GB220" s="48"/>
      <c r="GC220" s="48"/>
      <c r="GD220" s="48"/>
      <c r="GE220" s="48"/>
      <c r="GF220" s="48"/>
      <c r="GG220" s="48"/>
      <c r="GH220" s="48"/>
      <c r="GI220" s="48"/>
      <c r="GJ220" s="48"/>
      <c r="GK220" s="48"/>
      <c r="GL220" s="48"/>
      <c r="GM220" s="48"/>
      <c r="GN220" s="48"/>
      <c r="GO220" s="48"/>
      <c r="GP220" s="48"/>
      <c r="GQ220" s="48"/>
      <c r="GR220" s="48"/>
      <c r="GS220" s="48"/>
      <c r="GT220" s="48"/>
      <c r="GU220" s="48"/>
      <c r="GV220" s="48"/>
      <c r="GW220" s="48"/>
      <c r="GX220" s="48"/>
      <c r="GY220" s="48"/>
      <c r="GZ220" s="48"/>
      <c r="HA220" s="48"/>
      <c r="HB220" s="48"/>
      <c r="HC220" s="48"/>
      <c r="HD220" s="48"/>
      <c r="HE220" s="48"/>
      <c r="HF220" s="48"/>
      <c r="HG220" s="48"/>
      <c r="HH220" s="48"/>
      <c r="HI220" s="48"/>
      <c r="HJ220" s="48"/>
      <c r="HK220" s="48"/>
      <c r="HL220" s="48"/>
      <c r="HM220" s="48"/>
      <c r="HN220" s="48"/>
      <c r="HO220" s="48"/>
      <c r="HP220" s="48"/>
      <c r="HQ220" s="48"/>
      <c r="HR220" s="48"/>
      <c r="HS220" s="48"/>
      <c r="HT220" s="48"/>
      <c r="HU220" s="48"/>
      <c r="HV220" s="48"/>
      <c r="HW220" s="48"/>
      <c r="HX220" s="48"/>
      <c r="HY220" s="48"/>
      <c r="HZ220" s="48"/>
      <c r="IA220" s="48"/>
      <c r="IB220" s="48"/>
      <c r="IC220" s="48"/>
      <c r="ID220" s="48"/>
      <c r="IE220" s="48"/>
      <c r="IF220" s="48"/>
      <c r="IG220" s="48"/>
      <c r="IH220" s="48"/>
      <c r="II220" s="48"/>
      <c r="IJ220" s="48"/>
      <c r="IK220" s="48"/>
      <c r="IL220" s="48"/>
      <c r="IM220" s="48"/>
      <c r="IN220" s="48"/>
      <c r="IO220" s="48"/>
      <c r="IP220" s="48"/>
      <c r="IQ220" s="48"/>
      <c r="IR220" s="48"/>
      <c r="IS220" s="48"/>
      <c r="IT220" s="48"/>
    </row>
    <row r="221" spans="1:254" s="5" customFormat="1" ht="14.25" customHeight="1">
      <c r="A221" s="91" t="s">
        <v>30</v>
      </c>
      <c r="B221" s="67"/>
      <c r="C221" s="91">
        <v>1000</v>
      </c>
      <c r="D221" s="61"/>
      <c r="E221" s="61"/>
      <c r="F221" s="61"/>
      <c r="G221" s="61"/>
      <c r="I221" s="61" t="s">
        <v>51</v>
      </c>
      <c r="J221" s="61">
        <v>0.6</v>
      </c>
      <c r="K221" s="61">
        <f t="shared" si="58"/>
        <v>7.281553398058252</v>
      </c>
      <c r="M221" s="67" t="s">
        <v>30</v>
      </c>
      <c r="N221" s="67"/>
      <c r="O221" s="91">
        <v>1000</v>
      </c>
      <c r="P221" s="6"/>
      <c r="Q221" s="92" t="s">
        <v>28</v>
      </c>
      <c r="R221" s="92">
        <v>5</v>
      </c>
      <c r="S221" s="92">
        <f t="shared" si="60"/>
        <v>52.910052910052904</v>
      </c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48"/>
      <c r="DY221" s="48"/>
      <c r="DZ221" s="48"/>
      <c r="EA221" s="48"/>
      <c r="EB221" s="48"/>
      <c r="EC221" s="48"/>
      <c r="ED221" s="48"/>
      <c r="EE221" s="48"/>
      <c r="EF221" s="48"/>
      <c r="EG221" s="48"/>
      <c r="EH221" s="48"/>
      <c r="EI221" s="48"/>
      <c r="EJ221" s="48"/>
      <c r="EK221" s="48"/>
      <c r="EL221" s="48"/>
      <c r="EM221" s="48"/>
      <c r="EN221" s="48"/>
      <c r="EO221" s="48"/>
      <c r="EP221" s="48"/>
      <c r="EQ221" s="48"/>
      <c r="ER221" s="48"/>
      <c r="ES221" s="48"/>
      <c r="ET221" s="48"/>
      <c r="EU221" s="48"/>
      <c r="EV221" s="48"/>
      <c r="EW221" s="48"/>
      <c r="EX221" s="48"/>
      <c r="EY221" s="48"/>
      <c r="EZ221" s="48"/>
      <c r="FA221" s="48"/>
      <c r="FB221" s="48"/>
      <c r="FC221" s="48"/>
      <c r="FD221" s="48"/>
      <c r="FE221" s="48"/>
      <c r="FF221" s="48"/>
      <c r="FG221" s="48"/>
      <c r="FH221" s="48"/>
      <c r="FI221" s="48"/>
      <c r="FJ221" s="48"/>
      <c r="FK221" s="48"/>
      <c r="FL221" s="48"/>
      <c r="FM221" s="48"/>
      <c r="FN221" s="48"/>
      <c r="FO221" s="48"/>
      <c r="FP221" s="48"/>
      <c r="FQ221" s="48"/>
      <c r="FR221" s="48"/>
      <c r="FS221" s="48"/>
      <c r="FT221" s="48"/>
      <c r="FU221" s="48"/>
      <c r="FV221" s="48"/>
      <c r="FW221" s="48"/>
      <c r="FX221" s="48"/>
      <c r="FY221" s="48"/>
      <c r="FZ221" s="48"/>
      <c r="GA221" s="48"/>
      <c r="GB221" s="48"/>
      <c r="GC221" s="48"/>
      <c r="GD221" s="48"/>
      <c r="GE221" s="48"/>
      <c r="GF221" s="48"/>
      <c r="GG221" s="48"/>
      <c r="GH221" s="48"/>
      <c r="GI221" s="48"/>
      <c r="GJ221" s="48"/>
      <c r="GK221" s="48"/>
      <c r="GL221" s="48"/>
      <c r="GM221" s="48"/>
      <c r="GN221" s="48"/>
      <c r="GO221" s="48"/>
      <c r="GP221" s="48"/>
      <c r="GQ221" s="48"/>
      <c r="GR221" s="48"/>
      <c r="GS221" s="48"/>
      <c r="GT221" s="48"/>
      <c r="GU221" s="48"/>
      <c r="GV221" s="48"/>
      <c r="GW221" s="48"/>
      <c r="GX221" s="48"/>
      <c r="GY221" s="48"/>
      <c r="GZ221" s="48"/>
      <c r="HA221" s="48"/>
      <c r="HB221" s="48"/>
      <c r="HC221" s="48"/>
      <c r="HD221" s="48"/>
      <c r="HE221" s="48"/>
      <c r="HF221" s="48"/>
      <c r="HG221" s="48"/>
      <c r="HH221" s="48"/>
      <c r="HI221" s="48"/>
      <c r="HJ221" s="48"/>
      <c r="HK221" s="48"/>
      <c r="HL221" s="48"/>
      <c r="HM221" s="48"/>
      <c r="HN221" s="48"/>
      <c r="HO221" s="48"/>
      <c r="HP221" s="48"/>
      <c r="HQ221" s="48"/>
      <c r="HR221" s="48"/>
      <c r="HS221" s="48"/>
      <c r="HT221" s="48"/>
      <c r="HU221" s="48"/>
      <c r="HV221" s="48"/>
      <c r="HW221" s="48"/>
      <c r="HX221" s="48"/>
      <c r="HY221" s="48"/>
      <c r="HZ221" s="48"/>
      <c r="IA221" s="48"/>
      <c r="IB221" s="48"/>
      <c r="IC221" s="48"/>
      <c r="ID221" s="48"/>
      <c r="IE221" s="48"/>
      <c r="IF221" s="48"/>
      <c r="IG221" s="48"/>
      <c r="IH221" s="48"/>
      <c r="II221" s="48"/>
      <c r="IJ221" s="48"/>
      <c r="IK221" s="48"/>
      <c r="IL221" s="48"/>
      <c r="IM221" s="48"/>
      <c r="IN221" s="48"/>
      <c r="IO221" s="48"/>
      <c r="IP221" s="48"/>
      <c r="IQ221" s="48"/>
      <c r="IR221" s="48"/>
      <c r="IS221" s="48"/>
      <c r="IT221" s="48"/>
    </row>
    <row r="222" spans="1:254" s="5" customFormat="1" ht="14.25" customHeight="1">
      <c r="A222" s="40"/>
      <c r="B222" s="17"/>
      <c r="C222" s="6"/>
      <c r="D222" s="17"/>
      <c r="E222" s="41"/>
      <c r="F222" s="17"/>
      <c r="G222" s="6"/>
      <c r="I222" s="67" t="s">
        <v>30</v>
      </c>
      <c r="J222" s="67"/>
      <c r="K222" s="91">
        <v>1000</v>
      </c>
      <c r="P222" s="6"/>
      <c r="Q222" s="91" t="s">
        <v>30</v>
      </c>
      <c r="R222" s="67"/>
      <c r="S222" s="91">
        <v>1000</v>
      </c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/>
      <c r="EL222" s="48"/>
      <c r="EM222" s="48"/>
      <c r="EN222" s="48"/>
      <c r="EO222" s="48"/>
      <c r="EP222" s="48"/>
      <c r="EQ222" s="48"/>
      <c r="ER222" s="48"/>
      <c r="ES222" s="48"/>
      <c r="ET222" s="48"/>
      <c r="EU222" s="48"/>
      <c r="EV222" s="48"/>
      <c r="EW222" s="48"/>
      <c r="EX222" s="48"/>
      <c r="EY222" s="48"/>
      <c r="EZ222" s="48"/>
      <c r="FA222" s="48"/>
      <c r="FB222" s="48"/>
      <c r="FC222" s="48"/>
      <c r="FD222" s="48"/>
      <c r="FE222" s="48"/>
      <c r="FF222" s="48"/>
      <c r="FG222" s="48"/>
      <c r="FH222" s="48"/>
      <c r="FI222" s="48"/>
      <c r="FJ222" s="48"/>
      <c r="FK222" s="48"/>
      <c r="FL222" s="48"/>
      <c r="FM222" s="48"/>
      <c r="FN222" s="48"/>
      <c r="FO222" s="48"/>
      <c r="FP222" s="48"/>
      <c r="FQ222" s="48"/>
      <c r="FR222" s="48"/>
      <c r="FS222" s="48"/>
      <c r="FT222" s="48"/>
      <c r="FU222" s="48"/>
      <c r="FV222" s="48"/>
      <c r="FW222" s="48"/>
      <c r="FX222" s="48"/>
      <c r="FY222" s="48"/>
      <c r="FZ222" s="48"/>
      <c r="GA222" s="48"/>
      <c r="GB222" s="48"/>
      <c r="GC222" s="48"/>
      <c r="GD222" s="48"/>
      <c r="GE222" s="48"/>
      <c r="GF222" s="48"/>
      <c r="GG222" s="48"/>
      <c r="GH222" s="48"/>
      <c r="GI222" s="48"/>
      <c r="GJ222" s="48"/>
      <c r="GK222" s="48"/>
      <c r="GL222" s="48"/>
      <c r="GM222" s="48"/>
      <c r="GN222" s="48"/>
      <c r="GO222" s="48"/>
      <c r="GP222" s="48"/>
      <c r="GQ222" s="48"/>
      <c r="GR222" s="48"/>
      <c r="GS222" s="48"/>
      <c r="GT222" s="48"/>
      <c r="GU222" s="48"/>
      <c r="GV222" s="48"/>
      <c r="GW222" s="48"/>
      <c r="GX222" s="48"/>
      <c r="GY222" s="48"/>
      <c r="GZ222" s="48"/>
      <c r="HA222" s="48"/>
      <c r="HB222" s="48"/>
      <c r="HC222" s="48"/>
      <c r="HD222" s="48"/>
      <c r="HE222" s="48"/>
      <c r="HF222" s="48"/>
      <c r="HG222" s="48"/>
      <c r="HH222" s="48"/>
      <c r="HI222" s="48"/>
      <c r="HJ222" s="48"/>
      <c r="HK222" s="48"/>
      <c r="HL222" s="48"/>
      <c r="HM222" s="48"/>
      <c r="HN222" s="48"/>
      <c r="HO222" s="48"/>
      <c r="HP222" s="48"/>
      <c r="HQ222" s="48"/>
      <c r="HR222" s="48"/>
      <c r="HS222" s="48"/>
      <c r="HT222" s="48"/>
      <c r="HU222" s="48"/>
      <c r="HV222" s="48"/>
      <c r="HW222" s="48"/>
      <c r="HX222" s="48"/>
      <c r="HY222" s="48"/>
      <c r="HZ222" s="48"/>
      <c r="IA222" s="48"/>
      <c r="IB222" s="48"/>
      <c r="IC222" s="48"/>
      <c r="ID222" s="48"/>
      <c r="IE222" s="48"/>
      <c r="IF222" s="48"/>
      <c r="IG222" s="48"/>
      <c r="IH222" s="48"/>
      <c r="II222" s="48"/>
      <c r="IJ222" s="48"/>
      <c r="IK222" s="48"/>
      <c r="IL222" s="48"/>
      <c r="IM222" s="48"/>
      <c r="IN222" s="48"/>
      <c r="IO222" s="48"/>
      <c r="IP222" s="48"/>
      <c r="IQ222" s="48"/>
      <c r="IR222" s="48"/>
      <c r="IS222" s="48"/>
      <c r="IT222" s="48"/>
    </row>
    <row r="223" spans="1:254" s="47" customFormat="1" ht="14.25" customHeight="1">
      <c r="A223" s="40"/>
      <c r="B223" s="17"/>
      <c r="C223" s="6"/>
      <c r="D223" s="17"/>
      <c r="E223" s="41"/>
      <c r="F223" s="17"/>
      <c r="G223" s="6"/>
      <c r="I223" s="64"/>
      <c r="J223" s="64"/>
      <c r="K223" s="64"/>
      <c r="P223" s="13"/>
      <c r="Q223" s="126"/>
      <c r="R223" s="126"/>
      <c r="S223" s="126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48"/>
      <c r="DY223" s="48"/>
      <c r="DZ223" s="48"/>
      <c r="EA223" s="48"/>
      <c r="EB223" s="48"/>
      <c r="EC223" s="48"/>
      <c r="ED223" s="48"/>
      <c r="EE223" s="48"/>
      <c r="EF223" s="48"/>
      <c r="EG223" s="48"/>
      <c r="EH223" s="48"/>
      <c r="EI223" s="48"/>
      <c r="EJ223" s="48"/>
      <c r="EK223" s="48"/>
      <c r="EL223" s="48"/>
      <c r="EM223" s="48"/>
      <c r="EN223" s="48"/>
      <c r="EO223" s="48"/>
      <c r="EP223" s="48"/>
      <c r="EQ223" s="48"/>
      <c r="ER223" s="48"/>
      <c r="ES223" s="48"/>
      <c r="ET223" s="48"/>
      <c r="EU223" s="48"/>
      <c r="EV223" s="48"/>
      <c r="EW223" s="48"/>
      <c r="EX223" s="48"/>
      <c r="EY223" s="48"/>
      <c r="EZ223" s="48"/>
      <c r="FA223" s="48"/>
      <c r="FB223" s="48"/>
      <c r="FC223" s="48"/>
      <c r="FD223" s="48"/>
      <c r="FE223" s="48"/>
      <c r="FF223" s="48"/>
      <c r="FG223" s="48"/>
      <c r="FH223" s="48"/>
      <c r="FI223" s="48"/>
      <c r="FJ223" s="48"/>
      <c r="FK223" s="48"/>
      <c r="FL223" s="48"/>
      <c r="FM223" s="48"/>
      <c r="FN223" s="48"/>
      <c r="FO223" s="48"/>
      <c r="FP223" s="48"/>
      <c r="FQ223" s="48"/>
      <c r="FR223" s="48"/>
      <c r="FS223" s="48"/>
      <c r="FT223" s="48"/>
      <c r="FU223" s="48"/>
      <c r="FV223" s="48"/>
      <c r="FW223" s="48"/>
      <c r="FX223" s="48"/>
      <c r="FY223" s="48"/>
      <c r="FZ223" s="48"/>
      <c r="GA223" s="48"/>
      <c r="GB223" s="48"/>
      <c r="GC223" s="48"/>
      <c r="GD223" s="48"/>
      <c r="GE223" s="48"/>
      <c r="GF223" s="48"/>
      <c r="GG223" s="48"/>
      <c r="GH223" s="48"/>
      <c r="GI223" s="48"/>
      <c r="GJ223" s="48"/>
      <c r="GK223" s="48"/>
      <c r="GL223" s="48"/>
      <c r="GM223" s="48"/>
      <c r="GN223" s="48"/>
      <c r="GO223" s="48"/>
      <c r="GP223" s="48"/>
      <c r="GQ223" s="48"/>
      <c r="GR223" s="48"/>
      <c r="GS223" s="48"/>
      <c r="GT223" s="48"/>
      <c r="GU223" s="48"/>
      <c r="GV223" s="48"/>
      <c r="GW223" s="48"/>
      <c r="GX223" s="48"/>
      <c r="GY223" s="48"/>
      <c r="GZ223" s="48"/>
      <c r="HA223" s="48"/>
      <c r="HB223" s="48"/>
      <c r="HC223" s="48"/>
      <c r="HD223" s="48"/>
      <c r="HE223" s="48"/>
      <c r="HF223" s="48"/>
      <c r="HG223" s="48"/>
      <c r="HH223" s="48"/>
      <c r="HI223" s="48"/>
      <c r="HJ223" s="48"/>
      <c r="HK223" s="48"/>
      <c r="HL223" s="48"/>
      <c r="HM223" s="48"/>
      <c r="HN223" s="48"/>
      <c r="HO223" s="48"/>
      <c r="HP223" s="48"/>
      <c r="HQ223" s="48"/>
      <c r="HR223" s="48"/>
      <c r="HS223" s="48"/>
      <c r="HT223" s="48"/>
      <c r="HU223" s="48"/>
      <c r="HV223" s="48"/>
      <c r="HW223" s="48"/>
      <c r="HX223" s="48"/>
      <c r="HY223" s="48"/>
      <c r="HZ223" s="48"/>
      <c r="IA223" s="48"/>
      <c r="IB223" s="48"/>
      <c r="IC223" s="48"/>
      <c r="ID223" s="48"/>
      <c r="IE223" s="48"/>
      <c r="IF223" s="48"/>
      <c r="IG223" s="48"/>
      <c r="IH223" s="48"/>
      <c r="II223" s="48"/>
      <c r="IJ223" s="48"/>
      <c r="IK223" s="48"/>
      <c r="IL223" s="48"/>
      <c r="IM223" s="48"/>
      <c r="IN223" s="48"/>
      <c r="IO223" s="48"/>
      <c r="IP223" s="48"/>
      <c r="IQ223" s="48"/>
      <c r="IR223" s="48"/>
      <c r="IS223" s="48"/>
      <c r="IT223" s="48"/>
    </row>
    <row r="224" spans="1:254" s="47" customFormat="1" ht="14.25" customHeight="1">
      <c r="A224" s="57" t="s">
        <v>2</v>
      </c>
      <c r="B224" s="68"/>
      <c r="C224" s="71"/>
      <c r="E224" s="11" t="s">
        <v>2</v>
      </c>
      <c r="F224" s="12"/>
      <c r="G224" s="9" t="s">
        <v>197</v>
      </c>
      <c r="I224" s="57" t="s">
        <v>2</v>
      </c>
      <c r="J224" s="68"/>
      <c r="K224" s="71"/>
      <c r="L224" s="13"/>
      <c r="M224" s="100" t="s">
        <v>2</v>
      </c>
      <c r="N224" s="99"/>
      <c r="O224" s="30"/>
      <c r="Q224" s="57" t="s">
        <v>2</v>
      </c>
      <c r="R224" s="68"/>
      <c r="S224" s="71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/>
      <c r="EY224" s="48"/>
      <c r="EZ224" s="48"/>
      <c r="FA224" s="48"/>
      <c r="FB224" s="48"/>
      <c r="FC224" s="48"/>
      <c r="FD224" s="48"/>
      <c r="FE224" s="48"/>
      <c r="FF224" s="48"/>
      <c r="FG224" s="48"/>
      <c r="FH224" s="48"/>
      <c r="FI224" s="48"/>
      <c r="FJ224" s="48"/>
      <c r="FK224" s="48"/>
      <c r="FL224" s="48"/>
      <c r="FM224" s="48"/>
      <c r="FN224" s="48"/>
      <c r="FO224" s="48"/>
      <c r="FP224" s="48"/>
      <c r="FQ224" s="48"/>
      <c r="FR224" s="48"/>
      <c r="FS224" s="48"/>
      <c r="FT224" s="48"/>
      <c r="FU224" s="48"/>
      <c r="FV224" s="48"/>
      <c r="FW224" s="48"/>
      <c r="FX224" s="48"/>
      <c r="FY224" s="48"/>
      <c r="FZ224" s="48"/>
      <c r="GA224" s="48"/>
      <c r="GB224" s="48"/>
      <c r="GC224" s="48"/>
      <c r="GD224" s="48"/>
      <c r="GE224" s="48"/>
      <c r="GF224" s="48"/>
      <c r="GG224" s="48"/>
      <c r="GH224" s="48"/>
      <c r="GI224" s="48"/>
      <c r="GJ224" s="48"/>
      <c r="GK224" s="48"/>
      <c r="GL224" s="48"/>
      <c r="GM224" s="48"/>
      <c r="GN224" s="48"/>
      <c r="GO224" s="48"/>
      <c r="GP224" s="48"/>
      <c r="GQ224" s="48"/>
      <c r="GR224" s="48"/>
      <c r="GS224" s="48"/>
      <c r="GT224" s="48"/>
      <c r="GU224" s="48"/>
      <c r="GV224" s="48"/>
      <c r="GW224" s="48"/>
      <c r="GX224" s="48"/>
      <c r="GY224" s="48"/>
      <c r="GZ224" s="48"/>
      <c r="HA224" s="48"/>
      <c r="HB224" s="48"/>
      <c r="HC224" s="48"/>
      <c r="HD224" s="48"/>
      <c r="HE224" s="48"/>
      <c r="HF224" s="48"/>
      <c r="HG224" s="48"/>
      <c r="HH224" s="48"/>
      <c r="HI224" s="48"/>
      <c r="HJ224" s="48"/>
      <c r="HK224" s="48"/>
      <c r="HL224" s="48"/>
      <c r="HM224" s="48"/>
      <c r="HN224" s="48"/>
      <c r="HO224" s="48"/>
      <c r="HP224" s="48"/>
      <c r="HQ224" s="48"/>
      <c r="HR224" s="48"/>
      <c r="HS224" s="48"/>
      <c r="HT224" s="48"/>
      <c r="HU224" s="48"/>
      <c r="HV224" s="48"/>
      <c r="HW224" s="48"/>
      <c r="HX224" s="48"/>
      <c r="HY224" s="48"/>
      <c r="HZ224" s="48"/>
      <c r="IA224" s="48"/>
      <c r="IB224" s="48"/>
      <c r="IC224" s="48"/>
      <c r="ID224" s="48"/>
      <c r="IE224" s="48"/>
      <c r="IF224" s="48"/>
      <c r="IG224" s="48"/>
      <c r="IH224" s="48"/>
      <c r="II224" s="48"/>
      <c r="IJ224" s="48"/>
      <c r="IK224" s="48"/>
      <c r="IL224" s="48"/>
      <c r="IM224" s="48"/>
      <c r="IN224" s="48"/>
      <c r="IO224" s="48"/>
      <c r="IP224" s="48"/>
      <c r="IQ224" s="48"/>
      <c r="IR224" s="48"/>
      <c r="IS224" s="48"/>
      <c r="IT224" s="48"/>
    </row>
    <row r="225" spans="1:254" s="47" customFormat="1" ht="14.25" customHeight="1">
      <c r="A225" s="57" t="s">
        <v>5</v>
      </c>
      <c r="B225" s="65"/>
      <c r="C225" s="70" t="s">
        <v>198</v>
      </c>
      <c r="E225" s="11" t="s">
        <v>5</v>
      </c>
      <c r="F225" s="12"/>
      <c r="G225" s="16" t="s">
        <v>198</v>
      </c>
      <c r="I225" s="57" t="s">
        <v>5</v>
      </c>
      <c r="J225" s="65"/>
      <c r="K225" s="70" t="s">
        <v>199</v>
      </c>
      <c r="L225" s="13"/>
      <c r="M225" s="100" t="s">
        <v>5</v>
      </c>
      <c r="N225" s="99"/>
      <c r="O225" s="96" t="s">
        <v>199</v>
      </c>
      <c r="Q225" s="57" t="s">
        <v>5</v>
      </c>
      <c r="R225" s="65"/>
      <c r="S225" s="70" t="s">
        <v>200</v>
      </c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  <c r="EB225" s="48"/>
      <c r="EC225" s="48"/>
      <c r="ED225" s="48"/>
      <c r="EE225" s="48"/>
      <c r="EF225" s="48"/>
      <c r="EG225" s="48"/>
      <c r="EH225" s="48"/>
      <c r="EI225" s="48"/>
      <c r="EJ225" s="48"/>
      <c r="EK225" s="48"/>
      <c r="EL225" s="48"/>
      <c r="EM225" s="48"/>
      <c r="EN225" s="48"/>
      <c r="EO225" s="48"/>
      <c r="EP225" s="48"/>
      <c r="EQ225" s="48"/>
      <c r="ER225" s="48"/>
      <c r="ES225" s="48"/>
      <c r="ET225" s="48"/>
      <c r="EU225" s="48"/>
      <c r="EV225" s="48"/>
      <c r="EW225" s="48"/>
      <c r="EX225" s="48"/>
      <c r="EY225" s="48"/>
      <c r="EZ225" s="48"/>
      <c r="FA225" s="48"/>
      <c r="FB225" s="48"/>
      <c r="FC225" s="48"/>
      <c r="FD225" s="48"/>
      <c r="FE225" s="48"/>
      <c r="FF225" s="48"/>
      <c r="FG225" s="48"/>
      <c r="FH225" s="48"/>
      <c r="FI225" s="48"/>
      <c r="FJ225" s="48"/>
      <c r="FK225" s="48"/>
      <c r="FL225" s="48"/>
      <c r="FM225" s="48"/>
      <c r="FN225" s="48"/>
      <c r="FO225" s="48"/>
      <c r="FP225" s="48"/>
      <c r="FQ225" s="48"/>
      <c r="FR225" s="48"/>
      <c r="FS225" s="48"/>
      <c r="FT225" s="48"/>
      <c r="FU225" s="48"/>
      <c r="FV225" s="48"/>
      <c r="FW225" s="48"/>
      <c r="FX225" s="48"/>
      <c r="FY225" s="48"/>
      <c r="FZ225" s="48"/>
      <c r="GA225" s="48"/>
      <c r="GB225" s="48"/>
      <c r="GC225" s="48"/>
      <c r="GD225" s="48"/>
      <c r="GE225" s="48"/>
      <c r="GF225" s="48"/>
      <c r="GG225" s="48"/>
      <c r="GH225" s="48"/>
      <c r="GI225" s="48"/>
      <c r="GJ225" s="48"/>
      <c r="GK225" s="48"/>
      <c r="GL225" s="48"/>
      <c r="GM225" s="48"/>
      <c r="GN225" s="48"/>
      <c r="GO225" s="48"/>
      <c r="GP225" s="48"/>
      <c r="GQ225" s="48"/>
      <c r="GR225" s="48"/>
      <c r="GS225" s="48"/>
      <c r="GT225" s="48"/>
      <c r="GU225" s="48"/>
      <c r="GV225" s="48"/>
      <c r="GW225" s="48"/>
      <c r="GX225" s="48"/>
      <c r="GY225" s="48"/>
      <c r="GZ225" s="48"/>
      <c r="HA225" s="48"/>
      <c r="HB225" s="48"/>
      <c r="HC225" s="48"/>
      <c r="HD225" s="48"/>
      <c r="HE225" s="48"/>
      <c r="HF225" s="48"/>
      <c r="HG225" s="48"/>
      <c r="HH225" s="48"/>
      <c r="HI225" s="48"/>
      <c r="HJ225" s="48"/>
      <c r="HK225" s="48"/>
      <c r="HL225" s="48"/>
      <c r="HM225" s="48"/>
      <c r="HN225" s="48"/>
      <c r="HO225" s="48"/>
      <c r="HP225" s="48"/>
      <c r="HQ225" s="48"/>
      <c r="HR225" s="48"/>
      <c r="HS225" s="48"/>
      <c r="HT225" s="48"/>
      <c r="HU225" s="48"/>
      <c r="HV225" s="48"/>
      <c r="HW225" s="48"/>
      <c r="HX225" s="48"/>
      <c r="HY225" s="48"/>
      <c r="HZ225" s="48"/>
      <c r="IA225" s="48"/>
      <c r="IB225" s="48"/>
      <c r="IC225" s="48"/>
      <c r="ID225" s="48"/>
      <c r="IE225" s="48"/>
      <c r="IF225" s="48"/>
      <c r="IG225" s="48"/>
      <c r="IH225" s="48"/>
      <c r="II225" s="48"/>
      <c r="IJ225" s="48"/>
      <c r="IK225" s="48"/>
      <c r="IL225" s="48"/>
      <c r="IM225" s="48"/>
      <c r="IN225" s="48"/>
      <c r="IO225" s="48"/>
      <c r="IP225" s="48"/>
      <c r="IQ225" s="48"/>
      <c r="IR225" s="48"/>
      <c r="IS225" s="48"/>
      <c r="IT225" s="48"/>
    </row>
    <row r="226" spans="1:254" s="47" customFormat="1" ht="14.25" customHeight="1">
      <c r="A226" s="57" t="s">
        <v>8</v>
      </c>
      <c r="B226" s="65"/>
      <c r="C226" s="69" t="s">
        <v>201</v>
      </c>
      <c r="E226" s="11" t="s">
        <v>8</v>
      </c>
      <c r="F226" s="12"/>
      <c r="G226" s="16" t="s">
        <v>202</v>
      </c>
      <c r="I226" s="57" t="s">
        <v>8</v>
      </c>
      <c r="J226" s="65"/>
      <c r="K226" s="69" t="s">
        <v>203</v>
      </c>
      <c r="L226" s="13"/>
      <c r="M226" s="100" t="s">
        <v>8</v>
      </c>
      <c r="N226" s="99"/>
      <c r="O226" s="95" t="s">
        <v>204</v>
      </c>
      <c r="Q226" s="57" t="s">
        <v>8</v>
      </c>
      <c r="R226" s="65"/>
      <c r="S226" s="69" t="s">
        <v>205</v>
      </c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  <c r="ER226" s="48"/>
      <c r="ES226" s="48"/>
      <c r="ET226" s="48"/>
      <c r="EU226" s="48"/>
      <c r="EV226" s="48"/>
      <c r="EW226" s="48"/>
      <c r="EX226" s="48"/>
      <c r="EY226" s="48"/>
      <c r="EZ226" s="48"/>
      <c r="FA226" s="48"/>
      <c r="FB226" s="48"/>
      <c r="FC226" s="48"/>
      <c r="FD226" s="48"/>
      <c r="FE226" s="48"/>
      <c r="FF226" s="48"/>
      <c r="FG226" s="48"/>
      <c r="FH226" s="48"/>
      <c r="FI226" s="48"/>
      <c r="FJ226" s="48"/>
      <c r="FK226" s="48"/>
      <c r="FL226" s="48"/>
      <c r="FM226" s="48"/>
      <c r="FN226" s="48"/>
      <c r="FO226" s="48"/>
      <c r="FP226" s="48"/>
      <c r="FQ226" s="48"/>
      <c r="FR226" s="48"/>
      <c r="FS226" s="48"/>
      <c r="FT226" s="48"/>
      <c r="FU226" s="48"/>
      <c r="FV226" s="48"/>
      <c r="FW226" s="48"/>
      <c r="FX226" s="48"/>
      <c r="FY226" s="48"/>
      <c r="FZ226" s="48"/>
      <c r="GA226" s="48"/>
      <c r="GB226" s="48"/>
      <c r="GC226" s="48"/>
      <c r="GD226" s="48"/>
      <c r="GE226" s="48"/>
      <c r="GF226" s="48"/>
      <c r="GG226" s="48"/>
      <c r="GH226" s="48"/>
      <c r="GI226" s="48"/>
      <c r="GJ226" s="48"/>
      <c r="GK226" s="48"/>
      <c r="GL226" s="48"/>
      <c r="GM226" s="48"/>
      <c r="GN226" s="48"/>
      <c r="GO226" s="48"/>
      <c r="GP226" s="48"/>
      <c r="GQ226" s="48"/>
      <c r="GR226" s="48"/>
      <c r="GS226" s="48"/>
      <c r="GT226" s="48"/>
      <c r="GU226" s="48"/>
      <c r="GV226" s="48"/>
      <c r="GW226" s="48"/>
      <c r="GX226" s="48"/>
      <c r="GY226" s="48"/>
      <c r="GZ226" s="48"/>
      <c r="HA226" s="48"/>
      <c r="HB226" s="48"/>
      <c r="HC226" s="48"/>
      <c r="HD226" s="48"/>
      <c r="HE226" s="48"/>
      <c r="HF226" s="48"/>
      <c r="HG226" s="48"/>
      <c r="HH226" s="48"/>
      <c r="HI226" s="48"/>
      <c r="HJ226" s="48"/>
      <c r="HK226" s="48"/>
      <c r="HL226" s="48"/>
      <c r="HM226" s="48"/>
      <c r="HN226" s="48"/>
      <c r="HO226" s="48"/>
      <c r="HP226" s="48"/>
      <c r="HQ226" s="48"/>
      <c r="HR226" s="48"/>
      <c r="HS226" s="48"/>
      <c r="HT226" s="48"/>
      <c r="HU226" s="48"/>
      <c r="HV226" s="48"/>
      <c r="HW226" s="48"/>
      <c r="HX226" s="48"/>
      <c r="HY226" s="48"/>
      <c r="HZ226" s="48"/>
      <c r="IA226" s="48"/>
      <c r="IB226" s="48"/>
      <c r="IC226" s="48"/>
      <c r="ID226" s="48"/>
      <c r="IE226" s="48"/>
      <c r="IF226" s="48"/>
      <c r="IG226" s="48"/>
      <c r="IH226" s="48"/>
      <c r="II226" s="48"/>
      <c r="IJ226" s="48"/>
      <c r="IK226" s="48"/>
      <c r="IL226" s="48"/>
      <c r="IM226" s="48"/>
      <c r="IN226" s="48"/>
      <c r="IO226" s="48"/>
      <c r="IP226" s="48"/>
      <c r="IQ226" s="48"/>
      <c r="IR226" s="48"/>
      <c r="IS226" s="48"/>
      <c r="IT226" s="48"/>
    </row>
    <row r="227" spans="1:254" s="47" customFormat="1" ht="14.25" customHeight="1">
      <c r="A227" s="57" t="s">
        <v>14</v>
      </c>
      <c r="B227" s="68"/>
      <c r="C227" s="67" t="s">
        <v>130</v>
      </c>
      <c r="E227" s="11" t="s">
        <v>14</v>
      </c>
      <c r="F227" s="12"/>
      <c r="G227" s="9" t="s">
        <v>17</v>
      </c>
      <c r="I227" s="57" t="s">
        <v>14</v>
      </c>
      <c r="J227" s="68"/>
      <c r="K227" s="67" t="s">
        <v>17</v>
      </c>
      <c r="L227" s="13"/>
      <c r="M227" s="100" t="s">
        <v>14</v>
      </c>
      <c r="N227" s="99"/>
      <c r="O227" s="30" t="s">
        <v>18</v>
      </c>
      <c r="Q227" s="57" t="s">
        <v>14</v>
      </c>
      <c r="R227" s="68"/>
      <c r="S227" s="65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  <c r="ET227" s="48"/>
      <c r="EU227" s="48"/>
      <c r="EV227" s="48"/>
      <c r="EW227" s="48"/>
      <c r="EX227" s="48"/>
      <c r="EY227" s="48"/>
      <c r="EZ227" s="48"/>
      <c r="FA227" s="48"/>
      <c r="FB227" s="48"/>
      <c r="FC227" s="48"/>
      <c r="FD227" s="48"/>
      <c r="FE227" s="48"/>
      <c r="FF227" s="48"/>
      <c r="FG227" s="48"/>
      <c r="FH227" s="48"/>
      <c r="FI227" s="48"/>
      <c r="FJ227" s="48"/>
      <c r="FK227" s="48"/>
      <c r="FL227" s="48"/>
      <c r="FM227" s="48"/>
      <c r="FN227" s="48"/>
      <c r="FO227" s="48"/>
      <c r="FP227" s="48"/>
      <c r="FQ227" s="48"/>
      <c r="FR227" s="48"/>
      <c r="FS227" s="48"/>
      <c r="FT227" s="48"/>
      <c r="FU227" s="48"/>
      <c r="FV227" s="48"/>
      <c r="FW227" s="48"/>
      <c r="FX227" s="48"/>
      <c r="FY227" s="48"/>
      <c r="FZ227" s="48"/>
      <c r="GA227" s="48"/>
      <c r="GB227" s="48"/>
      <c r="GC227" s="48"/>
      <c r="GD227" s="48"/>
      <c r="GE227" s="48"/>
      <c r="GF227" s="48"/>
      <c r="GG227" s="48"/>
      <c r="GH227" s="48"/>
      <c r="GI227" s="48"/>
      <c r="GJ227" s="48"/>
      <c r="GK227" s="48"/>
      <c r="GL227" s="48"/>
      <c r="GM227" s="48"/>
      <c r="GN227" s="48"/>
      <c r="GO227" s="48"/>
      <c r="GP227" s="48"/>
      <c r="GQ227" s="48"/>
      <c r="GR227" s="48"/>
      <c r="GS227" s="48"/>
      <c r="GT227" s="48"/>
      <c r="GU227" s="48"/>
      <c r="GV227" s="48"/>
      <c r="GW227" s="48"/>
      <c r="GX227" s="48"/>
      <c r="GY227" s="48"/>
      <c r="GZ227" s="48"/>
      <c r="HA227" s="48"/>
      <c r="HB227" s="48"/>
      <c r="HC227" s="48"/>
      <c r="HD227" s="48"/>
      <c r="HE227" s="48"/>
      <c r="HF227" s="48"/>
      <c r="HG227" s="48"/>
      <c r="HH227" s="48"/>
      <c r="HI227" s="48"/>
      <c r="HJ227" s="48"/>
      <c r="HK227" s="48"/>
      <c r="HL227" s="48"/>
      <c r="HM227" s="48"/>
      <c r="HN227" s="48"/>
      <c r="HO227" s="48"/>
      <c r="HP227" s="48"/>
      <c r="HQ227" s="48"/>
      <c r="HR227" s="48"/>
      <c r="HS227" s="48"/>
      <c r="HT227" s="48"/>
      <c r="HU227" s="48"/>
      <c r="HV227" s="48"/>
      <c r="HW227" s="48"/>
      <c r="HX227" s="48"/>
      <c r="HY227" s="48"/>
      <c r="HZ227" s="48"/>
      <c r="IA227" s="48"/>
      <c r="IB227" s="48"/>
      <c r="IC227" s="48"/>
      <c r="ID227" s="48"/>
      <c r="IE227" s="48"/>
      <c r="IF227" s="48"/>
      <c r="IG227" s="48"/>
      <c r="IH227" s="48"/>
      <c r="II227" s="48"/>
      <c r="IJ227" s="48"/>
      <c r="IK227" s="48"/>
      <c r="IL227" s="48"/>
      <c r="IM227" s="48"/>
      <c r="IN227" s="48"/>
      <c r="IO227" s="48"/>
      <c r="IP227" s="48"/>
      <c r="IQ227" s="48"/>
      <c r="IR227" s="48"/>
      <c r="IS227" s="48"/>
      <c r="IT227" s="48"/>
    </row>
    <row r="228" spans="1:254" s="5" customFormat="1" ht="14.25" customHeight="1">
      <c r="A228" s="61" t="s">
        <v>20</v>
      </c>
      <c r="B228" s="61">
        <v>15</v>
      </c>
      <c r="C228" s="61">
        <f aca="true" t="shared" si="61" ref="C228:C233">B228/85.5*$C$234</f>
        <v>175.43859649122805</v>
      </c>
      <c r="E228" s="5" t="s">
        <v>64</v>
      </c>
      <c r="F228" s="6">
        <v>105.5</v>
      </c>
      <c r="G228" s="32">
        <f aca="true" t="shared" si="62" ref="G228:G234">F228/261.4*$G$235</f>
        <v>403.59602142310644</v>
      </c>
      <c r="I228" s="92" t="s">
        <v>20</v>
      </c>
      <c r="J228" s="92">
        <v>10.71</v>
      </c>
      <c r="K228" s="92">
        <f aca="true" t="shared" si="63" ref="K228:K235">J228/84.72*$K$236</f>
        <v>126.41643059490087</v>
      </c>
      <c r="L228" s="6"/>
      <c r="M228" s="98" t="s">
        <v>20</v>
      </c>
      <c r="N228" s="98">
        <v>12.6</v>
      </c>
      <c r="O228" s="94">
        <f aca="true" t="shared" si="64" ref="O228:O235">N228/108.8*$O$236</f>
        <v>115.80882352941177</v>
      </c>
      <c r="P228" s="47"/>
      <c r="Q228" s="61" t="s">
        <v>20</v>
      </c>
      <c r="R228" s="61">
        <v>30</v>
      </c>
      <c r="S228" s="61">
        <f aca="true" t="shared" si="65" ref="S228:S235">R228/71.2*$S$236</f>
        <v>421.34831460674155</v>
      </c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  <c r="ER228" s="48"/>
      <c r="ES228" s="48"/>
      <c r="ET228" s="48"/>
      <c r="EU228" s="48"/>
      <c r="EV228" s="48"/>
      <c r="EW228" s="48"/>
      <c r="EX228" s="48"/>
      <c r="EY228" s="48"/>
      <c r="EZ228" s="48"/>
      <c r="FA228" s="48"/>
      <c r="FB228" s="48"/>
      <c r="FC228" s="48"/>
      <c r="FD228" s="48"/>
      <c r="FE228" s="48"/>
      <c r="FF228" s="48"/>
      <c r="FG228" s="48"/>
      <c r="FH228" s="48"/>
      <c r="FI228" s="48"/>
      <c r="FJ228" s="48"/>
      <c r="FK228" s="48"/>
      <c r="FL228" s="48"/>
      <c r="FM228" s="48"/>
      <c r="FN228" s="48"/>
      <c r="FO228" s="48"/>
      <c r="FP228" s="48"/>
      <c r="FQ228" s="48"/>
      <c r="FR228" s="48"/>
      <c r="FS228" s="48"/>
      <c r="FT228" s="48"/>
      <c r="FU228" s="48"/>
      <c r="FV228" s="48"/>
      <c r="FW228" s="48"/>
      <c r="FX228" s="48"/>
      <c r="FY228" s="48"/>
      <c r="FZ228" s="48"/>
      <c r="GA228" s="48"/>
      <c r="GB228" s="48"/>
      <c r="GC228" s="48"/>
      <c r="GD228" s="48"/>
      <c r="GE228" s="48"/>
      <c r="GF228" s="48"/>
      <c r="GG228" s="48"/>
      <c r="GH228" s="48"/>
      <c r="GI228" s="48"/>
      <c r="GJ228" s="48"/>
      <c r="GK228" s="48"/>
      <c r="GL228" s="48"/>
      <c r="GM228" s="48"/>
      <c r="GN228" s="48"/>
      <c r="GO228" s="48"/>
      <c r="GP228" s="48"/>
      <c r="GQ228" s="48"/>
      <c r="GR228" s="48"/>
      <c r="GS228" s="48"/>
      <c r="GT228" s="48"/>
      <c r="GU228" s="48"/>
      <c r="GV228" s="48"/>
      <c r="GW228" s="48"/>
      <c r="GX228" s="48"/>
      <c r="GY228" s="48"/>
      <c r="GZ228" s="48"/>
      <c r="HA228" s="48"/>
      <c r="HB228" s="48"/>
      <c r="HC228" s="48"/>
      <c r="HD228" s="48"/>
      <c r="HE228" s="48"/>
      <c r="HF228" s="48"/>
      <c r="HG228" s="48"/>
      <c r="HH228" s="48"/>
      <c r="HI228" s="48"/>
      <c r="HJ228" s="48"/>
      <c r="HK228" s="48"/>
      <c r="HL228" s="48"/>
      <c r="HM228" s="48"/>
      <c r="HN228" s="48"/>
      <c r="HO228" s="48"/>
      <c r="HP228" s="48"/>
      <c r="HQ228" s="48"/>
      <c r="HR228" s="48"/>
      <c r="HS228" s="48"/>
      <c r="HT228" s="48"/>
      <c r="HU228" s="48"/>
      <c r="HV228" s="48"/>
      <c r="HW228" s="48"/>
      <c r="HX228" s="48"/>
      <c r="HY228" s="48"/>
      <c r="HZ228" s="48"/>
      <c r="IA228" s="48"/>
      <c r="IB228" s="48"/>
      <c r="IC228" s="48"/>
      <c r="ID228" s="48"/>
      <c r="IE228" s="48"/>
      <c r="IF228" s="48"/>
      <c r="IG228" s="48"/>
      <c r="IH228" s="48"/>
      <c r="II228" s="48"/>
      <c r="IJ228" s="48"/>
      <c r="IK228" s="48"/>
      <c r="IL228" s="48"/>
      <c r="IM228" s="48"/>
      <c r="IN228" s="48"/>
      <c r="IO228" s="48"/>
      <c r="IP228" s="48"/>
      <c r="IQ228" s="48"/>
      <c r="IR228" s="48"/>
      <c r="IS228" s="48"/>
      <c r="IT228" s="48"/>
    </row>
    <row r="229" spans="1:254" s="5" customFormat="1" ht="14.25" customHeight="1">
      <c r="A229" s="61" t="s">
        <v>22</v>
      </c>
      <c r="B229" s="61">
        <v>53</v>
      </c>
      <c r="C229" s="61">
        <f t="shared" si="61"/>
        <v>619.8830409356725</v>
      </c>
      <c r="E229" s="5" t="s">
        <v>20</v>
      </c>
      <c r="F229" s="6">
        <v>103.1</v>
      </c>
      <c r="G229" s="32">
        <f t="shared" si="62"/>
        <v>394.41469013006883</v>
      </c>
      <c r="I229" s="92" t="s">
        <v>22</v>
      </c>
      <c r="J229" s="92">
        <v>52.34</v>
      </c>
      <c r="K229" s="92">
        <f t="shared" si="63"/>
        <v>617.7998111425874</v>
      </c>
      <c r="L229" s="6"/>
      <c r="M229" s="98" t="s">
        <v>22</v>
      </c>
      <c r="N229" s="98">
        <v>67.2</v>
      </c>
      <c r="O229" s="94">
        <f t="shared" si="64"/>
        <v>617.6470588235294</v>
      </c>
      <c r="P229" s="47"/>
      <c r="Q229" s="61" t="s">
        <v>22</v>
      </c>
      <c r="R229" s="61">
        <v>16</v>
      </c>
      <c r="S229" s="61">
        <f t="shared" si="65"/>
        <v>224.7191011235955</v>
      </c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  <c r="EB229" s="48"/>
      <c r="EC229" s="48"/>
      <c r="ED229" s="48"/>
      <c r="EE229" s="48"/>
      <c r="EF229" s="48"/>
      <c r="EG229" s="48"/>
      <c r="EH229" s="48"/>
      <c r="EI229" s="48"/>
      <c r="EJ229" s="48"/>
      <c r="EK229" s="48"/>
      <c r="EL229" s="48"/>
      <c r="EM229" s="48"/>
      <c r="EN229" s="48"/>
      <c r="EO229" s="48"/>
      <c r="EP229" s="48"/>
      <c r="EQ229" s="48"/>
      <c r="ER229" s="48"/>
      <c r="ES229" s="48"/>
      <c r="ET229" s="48"/>
      <c r="EU229" s="48"/>
      <c r="EV229" s="48"/>
      <c r="EW229" s="48"/>
      <c r="EX229" s="48"/>
      <c r="EY229" s="48"/>
      <c r="EZ229" s="48"/>
      <c r="FA229" s="48"/>
      <c r="FB229" s="48"/>
      <c r="FC229" s="48"/>
      <c r="FD229" s="48"/>
      <c r="FE229" s="48"/>
      <c r="FF229" s="48"/>
      <c r="FG229" s="48"/>
      <c r="FH229" s="48"/>
      <c r="FI229" s="48"/>
      <c r="FJ229" s="48"/>
      <c r="FK229" s="48"/>
      <c r="FL229" s="48"/>
      <c r="FM229" s="48"/>
      <c r="FN229" s="48"/>
      <c r="FO229" s="48"/>
      <c r="FP229" s="48"/>
      <c r="FQ229" s="48"/>
      <c r="FR229" s="48"/>
      <c r="FS229" s="48"/>
      <c r="FT229" s="48"/>
      <c r="FU229" s="48"/>
      <c r="FV229" s="48"/>
      <c r="FW229" s="48"/>
      <c r="FX229" s="48"/>
      <c r="FY229" s="48"/>
      <c r="FZ229" s="48"/>
      <c r="GA229" s="48"/>
      <c r="GB229" s="48"/>
      <c r="GC229" s="48"/>
      <c r="GD229" s="48"/>
      <c r="GE229" s="48"/>
      <c r="GF229" s="48"/>
      <c r="GG229" s="48"/>
      <c r="GH229" s="48"/>
      <c r="GI229" s="48"/>
      <c r="GJ229" s="48"/>
      <c r="GK229" s="48"/>
      <c r="GL229" s="48"/>
      <c r="GM229" s="48"/>
      <c r="GN229" s="48"/>
      <c r="GO229" s="48"/>
      <c r="GP229" s="48"/>
      <c r="GQ229" s="48"/>
      <c r="GR229" s="48"/>
      <c r="GS229" s="48"/>
      <c r="GT229" s="48"/>
      <c r="GU229" s="48"/>
      <c r="GV229" s="48"/>
      <c r="GW229" s="48"/>
      <c r="GX229" s="48"/>
      <c r="GY229" s="48"/>
      <c r="GZ229" s="48"/>
      <c r="HA229" s="48"/>
      <c r="HB229" s="48"/>
      <c r="HC229" s="48"/>
      <c r="HD229" s="48"/>
      <c r="HE229" s="48"/>
      <c r="HF229" s="48"/>
      <c r="HG229" s="48"/>
      <c r="HH229" s="48"/>
      <c r="HI229" s="48"/>
      <c r="HJ229" s="48"/>
      <c r="HK229" s="48"/>
      <c r="HL229" s="48"/>
      <c r="HM229" s="48"/>
      <c r="HN229" s="48"/>
      <c r="HO229" s="48"/>
      <c r="HP229" s="48"/>
      <c r="HQ229" s="48"/>
      <c r="HR229" s="48"/>
      <c r="HS229" s="48"/>
      <c r="HT229" s="48"/>
      <c r="HU229" s="48"/>
      <c r="HV229" s="48"/>
      <c r="HW229" s="48"/>
      <c r="HX229" s="48"/>
      <c r="HY229" s="48"/>
      <c r="HZ229" s="48"/>
      <c r="IA229" s="48"/>
      <c r="IB229" s="48"/>
      <c r="IC229" s="48"/>
      <c r="ID229" s="48"/>
      <c r="IE229" s="48"/>
      <c r="IF229" s="48"/>
      <c r="IG229" s="48"/>
      <c r="IH229" s="48"/>
      <c r="II229" s="48"/>
      <c r="IJ229" s="48"/>
      <c r="IK229" s="48"/>
      <c r="IL229" s="48"/>
      <c r="IM229" s="48"/>
      <c r="IN229" s="48"/>
      <c r="IO229" s="48"/>
      <c r="IP229" s="48"/>
      <c r="IQ229" s="48"/>
      <c r="IR229" s="48"/>
      <c r="IS229" s="48"/>
      <c r="IT229" s="48"/>
    </row>
    <row r="230" spans="1:254" s="5" customFormat="1" ht="14.25" customHeight="1">
      <c r="A230" s="61" t="s">
        <v>65</v>
      </c>
      <c r="B230" s="61">
        <v>12.2</v>
      </c>
      <c r="C230" s="61">
        <f t="shared" si="61"/>
        <v>142.69005847953215</v>
      </c>
      <c r="E230" s="5" t="s">
        <v>24</v>
      </c>
      <c r="F230" s="6">
        <v>17.5</v>
      </c>
      <c r="G230" s="32">
        <f t="shared" si="62"/>
        <v>66.94720734506504</v>
      </c>
      <c r="I230" s="92" t="s">
        <v>23</v>
      </c>
      <c r="J230" s="92">
        <v>10.5</v>
      </c>
      <c r="K230" s="92">
        <f t="shared" si="63"/>
        <v>123.93767705382436</v>
      </c>
      <c r="L230" s="6"/>
      <c r="M230" s="98" t="s">
        <v>23</v>
      </c>
      <c r="N230" s="98">
        <v>12.5</v>
      </c>
      <c r="O230" s="94">
        <f t="shared" si="64"/>
        <v>114.88970588235296</v>
      </c>
      <c r="P230" s="47"/>
      <c r="Q230" s="61" t="s">
        <v>46</v>
      </c>
      <c r="R230" s="61">
        <v>9.3</v>
      </c>
      <c r="S230" s="61">
        <f t="shared" si="65"/>
        <v>130.6179775280899</v>
      </c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  <c r="FH230" s="48"/>
      <c r="FI230" s="48"/>
      <c r="FJ230" s="48"/>
      <c r="FK230" s="48"/>
      <c r="FL230" s="48"/>
      <c r="FM230" s="48"/>
      <c r="FN230" s="48"/>
      <c r="FO230" s="48"/>
      <c r="FP230" s="48"/>
      <c r="FQ230" s="48"/>
      <c r="FR230" s="48"/>
      <c r="FS230" s="48"/>
      <c r="FT230" s="48"/>
      <c r="FU230" s="48"/>
      <c r="FV230" s="48"/>
      <c r="FW230" s="48"/>
      <c r="FX230" s="48"/>
      <c r="FY230" s="48"/>
      <c r="FZ230" s="48"/>
      <c r="GA230" s="48"/>
      <c r="GB230" s="48"/>
      <c r="GC230" s="48"/>
      <c r="GD230" s="48"/>
      <c r="GE230" s="48"/>
      <c r="GF230" s="48"/>
      <c r="GG230" s="48"/>
      <c r="GH230" s="48"/>
      <c r="GI230" s="48"/>
      <c r="GJ230" s="48"/>
      <c r="GK230" s="48"/>
      <c r="GL230" s="48"/>
      <c r="GM230" s="48"/>
      <c r="GN230" s="48"/>
      <c r="GO230" s="48"/>
      <c r="GP230" s="48"/>
      <c r="GQ230" s="48"/>
      <c r="GR230" s="48"/>
      <c r="GS230" s="48"/>
      <c r="GT230" s="48"/>
      <c r="GU230" s="48"/>
      <c r="GV230" s="48"/>
      <c r="GW230" s="48"/>
      <c r="GX230" s="48"/>
      <c r="GY230" s="48"/>
      <c r="GZ230" s="48"/>
      <c r="HA230" s="48"/>
      <c r="HB230" s="48"/>
      <c r="HC230" s="48"/>
      <c r="HD230" s="48"/>
      <c r="HE230" s="48"/>
      <c r="HF230" s="48"/>
      <c r="HG230" s="48"/>
      <c r="HH230" s="48"/>
      <c r="HI230" s="48"/>
      <c r="HJ230" s="48"/>
      <c r="HK230" s="48"/>
      <c r="HL230" s="48"/>
      <c r="HM230" s="48"/>
      <c r="HN230" s="48"/>
      <c r="HO230" s="48"/>
      <c r="HP230" s="48"/>
      <c r="HQ230" s="48"/>
      <c r="HR230" s="48"/>
      <c r="HS230" s="48"/>
      <c r="HT230" s="48"/>
      <c r="HU230" s="48"/>
      <c r="HV230" s="48"/>
      <c r="HW230" s="48"/>
      <c r="HX230" s="48"/>
      <c r="HY230" s="48"/>
      <c r="HZ230" s="48"/>
      <c r="IA230" s="48"/>
      <c r="IB230" s="48"/>
      <c r="IC230" s="48"/>
      <c r="ID230" s="48"/>
      <c r="IE230" s="48"/>
      <c r="IF230" s="48"/>
      <c r="IG230" s="48"/>
      <c r="IH230" s="48"/>
      <c r="II230" s="48"/>
      <c r="IJ230" s="48"/>
      <c r="IK230" s="48"/>
      <c r="IL230" s="48"/>
      <c r="IM230" s="48"/>
      <c r="IN230" s="48"/>
      <c r="IO230" s="48"/>
      <c r="IP230" s="48"/>
      <c r="IQ230" s="48"/>
      <c r="IR230" s="48"/>
      <c r="IS230" s="48"/>
      <c r="IT230" s="48"/>
    </row>
    <row r="231" spans="1:254" s="5" customFormat="1" ht="14.25" customHeight="1">
      <c r="A231" s="61" t="s">
        <v>33</v>
      </c>
      <c r="B231" s="61">
        <v>2.1</v>
      </c>
      <c r="C231" s="61">
        <f t="shared" si="61"/>
        <v>24.56140350877193</v>
      </c>
      <c r="E231" s="5" t="s">
        <v>206</v>
      </c>
      <c r="F231" s="6">
        <v>2</v>
      </c>
      <c r="G231" s="32">
        <f t="shared" si="62"/>
        <v>7.651109410864576</v>
      </c>
      <c r="I231" s="92" t="s">
        <v>44</v>
      </c>
      <c r="J231" s="92">
        <v>1.37</v>
      </c>
      <c r="K231" s="92">
        <f t="shared" si="63"/>
        <v>16.17091595845137</v>
      </c>
      <c r="L231" s="6"/>
      <c r="M231" s="98" t="s">
        <v>44</v>
      </c>
      <c r="N231" s="98">
        <v>1.6</v>
      </c>
      <c r="O231" s="94">
        <f t="shared" si="64"/>
        <v>14.705882352941178</v>
      </c>
      <c r="P231" s="47"/>
      <c r="Q231" s="61" t="s">
        <v>26</v>
      </c>
      <c r="R231" s="61">
        <v>6</v>
      </c>
      <c r="S231" s="61">
        <f t="shared" si="65"/>
        <v>84.26966292134831</v>
      </c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8"/>
      <c r="GM231" s="48"/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  <c r="HA231" s="48"/>
      <c r="HB231" s="48"/>
      <c r="HC231" s="48"/>
      <c r="HD231" s="48"/>
      <c r="HE231" s="48"/>
      <c r="HF231" s="48"/>
      <c r="HG231" s="48"/>
      <c r="HH231" s="48"/>
      <c r="HI231" s="48"/>
      <c r="HJ231" s="48"/>
      <c r="HK231" s="48"/>
      <c r="HL231" s="48"/>
      <c r="HM231" s="48"/>
      <c r="HN231" s="48"/>
      <c r="HO231" s="48"/>
      <c r="HP231" s="48"/>
      <c r="HQ231" s="48"/>
      <c r="HR231" s="48"/>
      <c r="HS231" s="48"/>
      <c r="HT231" s="48"/>
      <c r="HU231" s="48"/>
      <c r="HV231" s="48"/>
      <c r="HW231" s="48"/>
      <c r="HX231" s="48"/>
      <c r="HY231" s="48"/>
      <c r="HZ231" s="48"/>
      <c r="IA231" s="48"/>
      <c r="IB231" s="48"/>
      <c r="IC231" s="48"/>
      <c r="ID231" s="48"/>
      <c r="IE231" s="48"/>
      <c r="IF231" s="48"/>
      <c r="IG231" s="48"/>
      <c r="IH231" s="48"/>
      <c r="II231" s="48"/>
      <c r="IJ231" s="48"/>
      <c r="IK231" s="48"/>
      <c r="IL231" s="48"/>
      <c r="IM231" s="48"/>
      <c r="IN231" s="48"/>
      <c r="IO231" s="48"/>
      <c r="IP231" s="48"/>
      <c r="IQ231" s="48"/>
      <c r="IR231" s="48"/>
      <c r="IS231" s="48"/>
      <c r="IT231" s="48"/>
    </row>
    <row r="232" spans="1:254" s="5" customFormat="1" ht="14.25" customHeight="1">
      <c r="A232" s="61" t="s">
        <v>47</v>
      </c>
      <c r="B232" s="61">
        <v>0.5</v>
      </c>
      <c r="C232" s="61">
        <f t="shared" si="61"/>
        <v>5.847953216374268</v>
      </c>
      <c r="E232" s="5" t="s">
        <v>143</v>
      </c>
      <c r="F232" s="6">
        <v>0.3</v>
      </c>
      <c r="G232" s="32">
        <f t="shared" si="62"/>
        <v>1.1476664116296864</v>
      </c>
      <c r="I232" s="92" t="s">
        <v>27</v>
      </c>
      <c r="J232" s="92">
        <v>1.21</v>
      </c>
      <c r="K232" s="92">
        <f t="shared" si="63"/>
        <v>14.282341831916902</v>
      </c>
      <c r="L232" s="6"/>
      <c r="M232" s="98" t="s">
        <v>27</v>
      </c>
      <c r="N232" s="98">
        <v>1.4</v>
      </c>
      <c r="O232" s="94">
        <f t="shared" si="64"/>
        <v>12.867647058823529</v>
      </c>
      <c r="P232" s="47"/>
      <c r="Q232" s="61" t="s">
        <v>25</v>
      </c>
      <c r="R232" s="61">
        <v>3</v>
      </c>
      <c r="S232" s="61">
        <f t="shared" si="65"/>
        <v>42.13483146067416</v>
      </c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  <c r="EB232" s="48"/>
      <c r="EC232" s="48"/>
      <c r="ED232" s="48"/>
      <c r="EE232" s="48"/>
      <c r="EF232" s="48"/>
      <c r="EG232" s="48"/>
      <c r="EH232" s="48"/>
      <c r="EI232" s="48"/>
      <c r="EJ232" s="48"/>
      <c r="EK232" s="48"/>
      <c r="EL232" s="48"/>
      <c r="EM232" s="48"/>
      <c r="EN232" s="48"/>
      <c r="EO232" s="48"/>
      <c r="EP232" s="48"/>
      <c r="EQ232" s="48"/>
      <c r="ER232" s="48"/>
      <c r="ES232" s="48"/>
      <c r="ET232" s="48"/>
      <c r="EU232" s="48"/>
      <c r="EV232" s="48"/>
      <c r="EW232" s="48"/>
      <c r="EX232" s="48"/>
      <c r="EY232" s="48"/>
      <c r="EZ232" s="48"/>
      <c r="FA232" s="48"/>
      <c r="FB232" s="48"/>
      <c r="FC232" s="48"/>
      <c r="FD232" s="48"/>
      <c r="FE232" s="48"/>
      <c r="FF232" s="48"/>
      <c r="FG232" s="48"/>
      <c r="FH232" s="48"/>
      <c r="FI232" s="48"/>
      <c r="FJ232" s="48"/>
      <c r="FK232" s="48"/>
      <c r="FL232" s="48"/>
      <c r="FM232" s="48"/>
      <c r="FN232" s="48"/>
      <c r="FO232" s="48"/>
      <c r="FP232" s="48"/>
      <c r="FQ232" s="48"/>
      <c r="FR232" s="48"/>
      <c r="FS232" s="48"/>
      <c r="FT232" s="48"/>
      <c r="FU232" s="48"/>
      <c r="FV232" s="48"/>
      <c r="FW232" s="48"/>
      <c r="FX232" s="48"/>
      <c r="FY232" s="48"/>
      <c r="FZ232" s="48"/>
      <c r="GA232" s="48"/>
      <c r="GB232" s="48"/>
      <c r="GC232" s="48"/>
      <c r="GD232" s="48"/>
      <c r="GE232" s="48"/>
      <c r="GF232" s="48"/>
      <c r="GG232" s="48"/>
      <c r="GH232" s="48"/>
      <c r="GI232" s="48"/>
      <c r="GJ232" s="48"/>
      <c r="GK232" s="48"/>
      <c r="GL232" s="48"/>
      <c r="GM232" s="48"/>
      <c r="GN232" s="48"/>
      <c r="GO232" s="48"/>
      <c r="GP232" s="48"/>
      <c r="GQ232" s="48"/>
      <c r="GR232" s="48"/>
      <c r="GS232" s="48"/>
      <c r="GT232" s="48"/>
      <c r="GU232" s="48"/>
      <c r="GV232" s="48"/>
      <c r="GW232" s="48"/>
      <c r="GX232" s="48"/>
      <c r="GY232" s="48"/>
      <c r="GZ232" s="48"/>
      <c r="HA232" s="48"/>
      <c r="HB232" s="48"/>
      <c r="HC232" s="48"/>
      <c r="HD232" s="48"/>
      <c r="HE232" s="48"/>
      <c r="HF232" s="48"/>
      <c r="HG232" s="48"/>
      <c r="HH232" s="48"/>
      <c r="HI232" s="48"/>
      <c r="HJ232" s="48"/>
      <c r="HK232" s="48"/>
      <c r="HL232" s="48"/>
      <c r="HM232" s="48"/>
      <c r="HN232" s="48"/>
      <c r="HO232" s="48"/>
      <c r="HP232" s="48"/>
      <c r="HQ232" s="48"/>
      <c r="HR232" s="48"/>
      <c r="HS232" s="48"/>
      <c r="HT232" s="48"/>
      <c r="HU232" s="48"/>
      <c r="HV232" s="48"/>
      <c r="HW232" s="48"/>
      <c r="HX232" s="48"/>
      <c r="HY232" s="48"/>
      <c r="HZ232" s="48"/>
      <c r="IA232" s="48"/>
      <c r="IB232" s="48"/>
      <c r="IC232" s="48"/>
      <c r="ID232" s="48"/>
      <c r="IE232" s="48"/>
      <c r="IF232" s="48"/>
      <c r="IG232" s="48"/>
      <c r="IH232" s="48"/>
      <c r="II232" s="48"/>
      <c r="IJ232" s="48"/>
      <c r="IK232" s="48"/>
      <c r="IL232" s="48"/>
      <c r="IM232" s="48"/>
      <c r="IN232" s="48"/>
      <c r="IO232" s="48"/>
      <c r="IP232" s="48"/>
      <c r="IQ232" s="48"/>
      <c r="IR232" s="48"/>
      <c r="IS232" s="48"/>
      <c r="IT232" s="48"/>
    </row>
    <row r="233" spans="1:254" s="5" customFormat="1" ht="14.25" customHeight="1">
      <c r="A233" s="61" t="s">
        <v>23</v>
      </c>
      <c r="B233" s="61">
        <v>2.7</v>
      </c>
      <c r="C233" s="61">
        <f t="shared" si="61"/>
        <v>31.578947368421055</v>
      </c>
      <c r="E233" s="5" t="s">
        <v>32</v>
      </c>
      <c r="F233" s="6">
        <v>1.8</v>
      </c>
      <c r="G233" s="32">
        <f t="shared" si="62"/>
        <v>6.8859984697781185</v>
      </c>
      <c r="I233" s="92" t="s">
        <v>51</v>
      </c>
      <c r="J233" s="92">
        <v>1.53</v>
      </c>
      <c r="K233" s="92">
        <f t="shared" si="63"/>
        <v>18.059490084985836</v>
      </c>
      <c r="L233" s="6"/>
      <c r="M233" s="98" t="s">
        <v>51</v>
      </c>
      <c r="N233" s="98">
        <v>3.4</v>
      </c>
      <c r="O233" s="94">
        <f t="shared" si="64"/>
        <v>31.25</v>
      </c>
      <c r="P233" s="47"/>
      <c r="Q233" s="61" t="s">
        <v>27</v>
      </c>
      <c r="R233" s="61">
        <v>0.1</v>
      </c>
      <c r="S233" s="61">
        <f t="shared" si="65"/>
        <v>1.4044943820224718</v>
      </c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DT233" s="48"/>
      <c r="DU233" s="48"/>
      <c r="DV233" s="48"/>
      <c r="DW233" s="48"/>
      <c r="DX233" s="48"/>
      <c r="DY233" s="48"/>
      <c r="DZ233" s="48"/>
      <c r="EA233" s="48"/>
      <c r="EB233" s="48"/>
      <c r="EC233" s="48"/>
      <c r="ED233" s="48"/>
      <c r="EE233" s="48"/>
      <c r="EF233" s="48"/>
      <c r="EG233" s="48"/>
      <c r="EH233" s="48"/>
      <c r="EI233" s="48"/>
      <c r="EJ233" s="48"/>
      <c r="EK233" s="48"/>
      <c r="EL233" s="48"/>
      <c r="EM233" s="48"/>
      <c r="EN233" s="48"/>
      <c r="EO233" s="48"/>
      <c r="EP233" s="48"/>
      <c r="EQ233" s="48"/>
      <c r="ER233" s="48"/>
      <c r="ES233" s="48"/>
      <c r="ET233" s="48"/>
      <c r="EU233" s="48"/>
      <c r="EV233" s="48"/>
      <c r="EW233" s="48"/>
      <c r="EX233" s="48"/>
      <c r="EY233" s="48"/>
      <c r="EZ233" s="48"/>
      <c r="FA233" s="48"/>
      <c r="FB233" s="48"/>
      <c r="FC233" s="48"/>
      <c r="FD233" s="48"/>
      <c r="FE233" s="48"/>
      <c r="FF233" s="48"/>
      <c r="FG233" s="48"/>
      <c r="FH233" s="48"/>
      <c r="FI233" s="48"/>
      <c r="FJ233" s="48"/>
      <c r="FK233" s="48"/>
      <c r="FL233" s="48"/>
      <c r="FM233" s="48"/>
      <c r="FN233" s="48"/>
      <c r="FO233" s="48"/>
      <c r="FP233" s="48"/>
      <c r="FQ233" s="48"/>
      <c r="FR233" s="48"/>
      <c r="FS233" s="48"/>
      <c r="FT233" s="48"/>
      <c r="FU233" s="48"/>
      <c r="FV233" s="48"/>
      <c r="FW233" s="48"/>
      <c r="FX233" s="48"/>
      <c r="FY233" s="48"/>
      <c r="FZ233" s="48"/>
      <c r="GA233" s="48"/>
      <c r="GB233" s="48"/>
      <c r="GC233" s="48"/>
      <c r="GD233" s="48"/>
      <c r="GE233" s="48"/>
      <c r="GF233" s="48"/>
      <c r="GG233" s="48"/>
      <c r="GH233" s="48"/>
      <c r="GI233" s="48"/>
      <c r="GJ233" s="48"/>
      <c r="GK233" s="48"/>
      <c r="GL233" s="48"/>
      <c r="GM233" s="48"/>
      <c r="GN233" s="48"/>
      <c r="GO233" s="48"/>
      <c r="GP233" s="48"/>
      <c r="GQ233" s="48"/>
      <c r="GR233" s="48"/>
      <c r="GS233" s="48"/>
      <c r="GT233" s="48"/>
      <c r="GU233" s="48"/>
      <c r="GV233" s="48"/>
      <c r="GW233" s="48"/>
      <c r="GX233" s="48"/>
      <c r="GY233" s="48"/>
      <c r="GZ233" s="48"/>
      <c r="HA233" s="48"/>
      <c r="HB233" s="48"/>
      <c r="HC233" s="48"/>
      <c r="HD233" s="48"/>
      <c r="HE233" s="48"/>
      <c r="HF233" s="48"/>
      <c r="HG233" s="48"/>
      <c r="HH233" s="48"/>
      <c r="HI233" s="48"/>
      <c r="HJ233" s="48"/>
      <c r="HK233" s="48"/>
      <c r="HL233" s="48"/>
      <c r="HM233" s="48"/>
      <c r="HN233" s="48"/>
      <c r="HO233" s="48"/>
      <c r="HP233" s="48"/>
      <c r="HQ233" s="48"/>
      <c r="HR233" s="48"/>
      <c r="HS233" s="48"/>
      <c r="HT233" s="48"/>
      <c r="HU233" s="48"/>
      <c r="HV233" s="48"/>
      <c r="HW233" s="48"/>
      <c r="HX233" s="48"/>
      <c r="HY233" s="48"/>
      <c r="HZ233" s="48"/>
      <c r="IA233" s="48"/>
      <c r="IB233" s="48"/>
      <c r="IC233" s="48"/>
      <c r="ID233" s="48"/>
      <c r="IE233" s="48"/>
      <c r="IF233" s="48"/>
      <c r="IG233" s="48"/>
      <c r="IH233" s="48"/>
      <c r="II233" s="48"/>
      <c r="IJ233" s="48"/>
      <c r="IK233" s="48"/>
      <c r="IL233" s="48"/>
      <c r="IM233" s="48"/>
      <c r="IN233" s="48"/>
      <c r="IO233" s="48"/>
      <c r="IP233" s="48"/>
      <c r="IQ233" s="48"/>
      <c r="IR233" s="48"/>
      <c r="IS233" s="48"/>
      <c r="IT233" s="48"/>
    </row>
    <row r="234" spans="1:254" s="5" customFormat="1" ht="14.25" customHeight="1">
      <c r="A234" s="67" t="s">
        <v>30</v>
      </c>
      <c r="B234" s="67"/>
      <c r="C234" s="91">
        <v>1000</v>
      </c>
      <c r="E234" s="5" t="s">
        <v>28</v>
      </c>
      <c r="F234" s="6">
        <v>31.2</v>
      </c>
      <c r="G234" s="32">
        <f t="shared" si="62"/>
        <v>119.35730680948738</v>
      </c>
      <c r="I234" s="92" t="s">
        <v>32</v>
      </c>
      <c r="J234" s="92">
        <v>0.5</v>
      </c>
      <c r="K234" s="92">
        <f t="shared" si="63"/>
        <v>5.901794145420208</v>
      </c>
      <c r="L234" s="6"/>
      <c r="M234" s="98" t="s">
        <v>32</v>
      </c>
      <c r="N234" s="98">
        <v>0.7</v>
      </c>
      <c r="O234" s="94">
        <f t="shared" si="64"/>
        <v>6.4338235294117645</v>
      </c>
      <c r="P234" s="47"/>
      <c r="Q234" s="61" t="s">
        <v>51</v>
      </c>
      <c r="R234" s="61">
        <v>1.8</v>
      </c>
      <c r="S234" s="61">
        <f t="shared" si="65"/>
        <v>25.280898876404493</v>
      </c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  <c r="EB234" s="48"/>
      <c r="EC234" s="48"/>
      <c r="ED234" s="48"/>
      <c r="EE234" s="48"/>
      <c r="EF234" s="48"/>
      <c r="EG234" s="48"/>
      <c r="EH234" s="48"/>
      <c r="EI234" s="48"/>
      <c r="EJ234" s="48"/>
      <c r="EK234" s="48"/>
      <c r="EL234" s="48"/>
      <c r="EM234" s="48"/>
      <c r="EN234" s="48"/>
      <c r="EO234" s="48"/>
      <c r="EP234" s="48"/>
      <c r="EQ234" s="48"/>
      <c r="ER234" s="48"/>
      <c r="ES234" s="48"/>
      <c r="ET234" s="48"/>
      <c r="EU234" s="48"/>
      <c r="EV234" s="48"/>
      <c r="EW234" s="48"/>
      <c r="EX234" s="48"/>
      <c r="EY234" s="48"/>
      <c r="EZ234" s="48"/>
      <c r="FA234" s="48"/>
      <c r="FB234" s="48"/>
      <c r="FC234" s="48"/>
      <c r="FD234" s="48"/>
      <c r="FE234" s="48"/>
      <c r="FF234" s="48"/>
      <c r="FG234" s="48"/>
      <c r="FH234" s="48"/>
      <c r="FI234" s="48"/>
      <c r="FJ234" s="48"/>
      <c r="FK234" s="48"/>
      <c r="FL234" s="48"/>
      <c r="FM234" s="48"/>
      <c r="FN234" s="48"/>
      <c r="FO234" s="48"/>
      <c r="FP234" s="48"/>
      <c r="FQ234" s="48"/>
      <c r="FR234" s="48"/>
      <c r="FS234" s="48"/>
      <c r="FT234" s="48"/>
      <c r="FU234" s="48"/>
      <c r="FV234" s="48"/>
      <c r="FW234" s="48"/>
      <c r="FX234" s="48"/>
      <c r="FY234" s="48"/>
      <c r="FZ234" s="48"/>
      <c r="GA234" s="48"/>
      <c r="GB234" s="48"/>
      <c r="GC234" s="48"/>
      <c r="GD234" s="48"/>
      <c r="GE234" s="48"/>
      <c r="GF234" s="48"/>
      <c r="GG234" s="48"/>
      <c r="GH234" s="48"/>
      <c r="GI234" s="48"/>
      <c r="GJ234" s="48"/>
      <c r="GK234" s="48"/>
      <c r="GL234" s="48"/>
      <c r="GM234" s="48"/>
      <c r="GN234" s="48"/>
      <c r="GO234" s="48"/>
      <c r="GP234" s="48"/>
      <c r="GQ234" s="48"/>
      <c r="GR234" s="48"/>
      <c r="GS234" s="48"/>
      <c r="GT234" s="48"/>
      <c r="GU234" s="48"/>
      <c r="GV234" s="48"/>
      <c r="GW234" s="48"/>
      <c r="GX234" s="48"/>
      <c r="GY234" s="48"/>
      <c r="GZ234" s="48"/>
      <c r="HA234" s="48"/>
      <c r="HB234" s="48"/>
      <c r="HC234" s="48"/>
      <c r="HD234" s="48"/>
      <c r="HE234" s="48"/>
      <c r="HF234" s="48"/>
      <c r="HG234" s="48"/>
      <c r="HH234" s="48"/>
      <c r="HI234" s="48"/>
      <c r="HJ234" s="48"/>
      <c r="HK234" s="48"/>
      <c r="HL234" s="48"/>
      <c r="HM234" s="48"/>
      <c r="HN234" s="48"/>
      <c r="HO234" s="48"/>
      <c r="HP234" s="48"/>
      <c r="HQ234" s="48"/>
      <c r="HR234" s="48"/>
      <c r="HS234" s="48"/>
      <c r="HT234" s="48"/>
      <c r="HU234" s="48"/>
      <c r="HV234" s="48"/>
      <c r="HW234" s="48"/>
      <c r="HX234" s="48"/>
      <c r="HY234" s="48"/>
      <c r="HZ234" s="48"/>
      <c r="IA234" s="48"/>
      <c r="IB234" s="48"/>
      <c r="IC234" s="48"/>
      <c r="ID234" s="48"/>
      <c r="IE234" s="48"/>
      <c r="IF234" s="48"/>
      <c r="IG234" s="48"/>
      <c r="IH234" s="48"/>
      <c r="II234" s="48"/>
      <c r="IJ234" s="48"/>
      <c r="IK234" s="48"/>
      <c r="IL234" s="48"/>
      <c r="IM234" s="48"/>
      <c r="IN234" s="48"/>
      <c r="IO234" s="48"/>
      <c r="IP234" s="48"/>
      <c r="IQ234" s="48"/>
      <c r="IR234" s="48"/>
      <c r="IS234" s="48"/>
      <c r="IT234" s="48"/>
    </row>
    <row r="235" spans="1:254" s="111" customFormat="1" ht="14.25" customHeight="1">
      <c r="A235" s="8"/>
      <c r="B235" s="22"/>
      <c r="C235" s="30"/>
      <c r="D235" s="20"/>
      <c r="E235" s="8" t="s">
        <v>30</v>
      </c>
      <c r="F235" s="5"/>
      <c r="G235" s="30">
        <v>1000</v>
      </c>
      <c r="H235" s="5"/>
      <c r="I235" s="92" t="s">
        <v>28</v>
      </c>
      <c r="J235" s="92">
        <v>6.56</v>
      </c>
      <c r="K235" s="92">
        <f t="shared" si="63"/>
        <v>77.43153918791312</v>
      </c>
      <c r="L235" s="5"/>
      <c r="M235" s="98" t="s">
        <v>28</v>
      </c>
      <c r="N235" s="98">
        <v>9.4</v>
      </c>
      <c r="O235" s="94">
        <f t="shared" si="64"/>
        <v>86.39705882352942</v>
      </c>
      <c r="P235" s="5"/>
      <c r="Q235" s="61" t="s">
        <v>28</v>
      </c>
      <c r="R235" s="61">
        <v>5</v>
      </c>
      <c r="S235" s="61">
        <f t="shared" si="65"/>
        <v>70.22471910112358</v>
      </c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  <c r="EB235" s="48"/>
      <c r="EC235" s="48"/>
      <c r="ED235" s="48"/>
      <c r="EE235" s="48"/>
      <c r="EF235" s="48"/>
      <c r="EG235" s="48"/>
      <c r="EH235" s="48"/>
      <c r="EI235" s="48"/>
      <c r="EJ235" s="48"/>
      <c r="EK235" s="48"/>
      <c r="EL235" s="48"/>
      <c r="EM235" s="48"/>
      <c r="EN235" s="48"/>
      <c r="EO235" s="48"/>
      <c r="EP235" s="48"/>
      <c r="EQ235" s="48"/>
      <c r="ER235" s="48"/>
      <c r="ES235" s="48"/>
      <c r="ET235" s="48"/>
      <c r="EU235" s="48"/>
      <c r="EV235" s="48"/>
      <c r="EW235" s="48"/>
      <c r="EX235" s="48"/>
      <c r="EY235" s="48"/>
      <c r="EZ235" s="48"/>
      <c r="FA235" s="48"/>
      <c r="FB235" s="48"/>
      <c r="FC235" s="48"/>
      <c r="FD235" s="48"/>
      <c r="FE235" s="48"/>
      <c r="FF235" s="48"/>
      <c r="FG235" s="48"/>
      <c r="FH235" s="48"/>
      <c r="FI235" s="48"/>
      <c r="FJ235" s="48"/>
      <c r="FK235" s="48"/>
      <c r="FL235" s="48"/>
      <c r="FM235" s="48"/>
      <c r="FN235" s="48"/>
      <c r="FO235" s="48"/>
      <c r="FP235" s="48"/>
      <c r="FQ235" s="48"/>
      <c r="FR235" s="48"/>
      <c r="FS235" s="48"/>
      <c r="FT235" s="48"/>
      <c r="FU235" s="48"/>
      <c r="FV235" s="48"/>
      <c r="FW235" s="48"/>
      <c r="FX235" s="48"/>
      <c r="FY235" s="48"/>
      <c r="FZ235" s="48"/>
      <c r="GA235" s="48"/>
      <c r="GB235" s="48"/>
      <c r="GC235" s="48"/>
      <c r="GD235" s="48"/>
      <c r="GE235" s="48"/>
      <c r="GF235" s="48"/>
      <c r="GG235" s="48"/>
      <c r="GH235" s="48"/>
      <c r="GI235" s="48"/>
      <c r="GJ235" s="48"/>
      <c r="GK235" s="48"/>
      <c r="GL235" s="48"/>
      <c r="GM235" s="48"/>
      <c r="GN235" s="48"/>
      <c r="GO235" s="48"/>
      <c r="GP235" s="48"/>
      <c r="GQ235" s="48"/>
      <c r="GR235" s="48"/>
      <c r="GS235" s="48"/>
      <c r="GT235" s="48"/>
      <c r="GU235" s="48"/>
      <c r="GV235" s="48"/>
      <c r="GW235" s="48"/>
      <c r="GX235" s="48"/>
      <c r="GY235" s="48"/>
      <c r="GZ235" s="48"/>
      <c r="HA235" s="48"/>
      <c r="HB235" s="48"/>
      <c r="HC235" s="48"/>
      <c r="HD235" s="48"/>
      <c r="HE235" s="48"/>
      <c r="HF235" s="48"/>
      <c r="HG235" s="48"/>
      <c r="HH235" s="48"/>
      <c r="HI235" s="48"/>
      <c r="HJ235" s="48"/>
      <c r="HK235" s="48"/>
      <c r="HL235" s="48"/>
      <c r="HM235" s="48"/>
      <c r="HN235" s="48"/>
      <c r="HO235" s="48"/>
      <c r="HP235" s="48"/>
      <c r="HQ235" s="48"/>
      <c r="HR235" s="48"/>
      <c r="HS235" s="48"/>
      <c r="HT235" s="48"/>
      <c r="HU235" s="48"/>
      <c r="HV235" s="48"/>
      <c r="HW235" s="48"/>
      <c r="HX235" s="48"/>
      <c r="HY235" s="48"/>
      <c r="HZ235" s="48"/>
      <c r="IA235" s="48"/>
      <c r="IB235" s="48"/>
      <c r="IC235" s="48"/>
      <c r="ID235" s="48"/>
      <c r="IE235" s="48"/>
      <c r="IF235" s="48"/>
      <c r="IG235" s="48"/>
      <c r="IH235" s="48"/>
      <c r="II235" s="48"/>
      <c r="IJ235" s="48"/>
      <c r="IK235" s="48"/>
      <c r="IL235" s="48"/>
      <c r="IM235" s="48"/>
      <c r="IN235" s="48"/>
      <c r="IO235" s="48"/>
      <c r="IP235" s="48"/>
      <c r="IQ235" s="48"/>
      <c r="IR235" s="48"/>
      <c r="IS235" s="48"/>
      <c r="IT235" s="48"/>
    </row>
    <row r="236" spans="1:254" s="111" customFormat="1" ht="14.25" customHeight="1">
      <c r="A236" s="18"/>
      <c r="B236" s="50"/>
      <c r="C236" s="20"/>
      <c r="D236" s="20"/>
      <c r="E236" s="8"/>
      <c r="F236" s="9"/>
      <c r="G236" s="9"/>
      <c r="H236" s="5"/>
      <c r="I236" s="91" t="s">
        <v>30</v>
      </c>
      <c r="J236" s="67"/>
      <c r="K236" s="91">
        <v>1000</v>
      </c>
      <c r="L236" s="5"/>
      <c r="M236" s="67" t="s">
        <v>30</v>
      </c>
      <c r="N236" s="67"/>
      <c r="O236" s="91">
        <v>1000</v>
      </c>
      <c r="P236" s="5"/>
      <c r="Q236" s="67" t="s">
        <v>30</v>
      </c>
      <c r="R236" s="67"/>
      <c r="S236" s="91">
        <v>1000</v>
      </c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  <c r="EB236" s="48"/>
      <c r="EC236" s="48"/>
      <c r="ED236" s="48"/>
      <c r="EE236" s="48"/>
      <c r="EF236" s="48"/>
      <c r="EG236" s="48"/>
      <c r="EH236" s="48"/>
      <c r="EI236" s="48"/>
      <c r="EJ236" s="48"/>
      <c r="EK236" s="48"/>
      <c r="EL236" s="48"/>
      <c r="EM236" s="48"/>
      <c r="EN236" s="48"/>
      <c r="EO236" s="48"/>
      <c r="EP236" s="48"/>
      <c r="EQ236" s="48"/>
      <c r="ER236" s="48"/>
      <c r="ES236" s="48"/>
      <c r="ET236" s="48"/>
      <c r="EU236" s="48"/>
      <c r="EV236" s="48"/>
      <c r="EW236" s="48"/>
      <c r="EX236" s="48"/>
      <c r="EY236" s="48"/>
      <c r="EZ236" s="48"/>
      <c r="FA236" s="48"/>
      <c r="FB236" s="48"/>
      <c r="FC236" s="48"/>
      <c r="FD236" s="48"/>
      <c r="FE236" s="48"/>
      <c r="FF236" s="48"/>
      <c r="FG236" s="48"/>
      <c r="FH236" s="48"/>
      <c r="FI236" s="48"/>
      <c r="FJ236" s="48"/>
      <c r="FK236" s="48"/>
      <c r="FL236" s="48"/>
      <c r="FM236" s="48"/>
      <c r="FN236" s="48"/>
      <c r="FO236" s="48"/>
      <c r="FP236" s="48"/>
      <c r="FQ236" s="48"/>
      <c r="FR236" s="48"/>
      <c r="FS236" s="48"/>
      <c r="FT236" s="48"/>
      <c r="FU236" s="48"/>
      <c r="FV236" s="48"/>
      <c r="FW236" s="48"/>
      <c r="FX236" s="48"/>
      <c r="FY236" s="48"/>
      <c r="FZ236" s="48"/>
      <c r="GA236" s="48"/>
      <c r="GB236" s="48"/>
      <c r="GC236" s="48"/>
      <c r="GD236" s="48"/>
      <c r="GE236" s="48"/>
      <c r="GF236" s="48"/>
      <c r="GG236" s="48"/>
      <c r="GH236" s="48"/>
      <c r="GI236" s="48"/>
      <c r="GJ236" s="48"/>
      <c r="GK236" s="48"/>
      <c r="GL236" s="48"/>
      <c r="GM236" s="48"/>
      <c r="GN236" s="48"/>
      <c r="GO236" s="48"/>
      <c r="GP236" s="48"/>
      <c r="GQ236" s="48"/>
      <c r="GR236" s="48"/>
      <c r="GS236" s="48"/>
      <c r="GT236" s="48"/>
      <c r="GU236" s="48"/>
      <c r="GV236" s="48"/>
      <c r="GW236" s="48"/>
      <c r="GX236" s="48"/>
      <c r="GY236" s="48"/>
      <c r="GZ236" s="48"/>
      <c r="HA236" s="48"/>
      <c r="HB236" s="48"/>
      <c r="HC236" s="48"/>
      <c r="HD236" s="48"/>
      <c r="HE236" s="48"/>
      <c r="HF236" s="48"/>
      <c r="HG236" s="48"/>
      <c r="HH236" s="48"/>
      <c r="HI236" s="48"/>
      <c r="HJ236" s="48"/>
      <c r="HK236" s="48"/>
      <c r="HL236" s="48"/>
      <c r="HM236" s="48"/>
      <c r="HN236" s="48"/>
      <c r="HO236" s="48"/>
      <c r="HP236" s="48"/>
      <c r="HQ236" s="48"/>
      <c r="HR236" s="48"/>
      <c r="HS236" s="48"/>
      <c r="HT236" s="48"/>
      <c r="HU236" s="48"/>
      <c r="HV236" s="48"/>
      <c r="HW236" s="48"/>
      <c r="HX236" s="48"/>
      <c r="HY236" s="48"/>
      <c r="HZ236" s="48"/>
      <c r="IA236" s="48"/>
      <c r="IB236" s="48"/>
      <c r="IC236" s="48"/>
      <c r="ID236" s="48"/>
      <c r="IE236" s="48"/>
      <c r="IF236" s="48"/>
      <c r="IG236" s="48"/>
      <c r="IH236" s="48"/>
      <c r="II236" s="48"/>
      <c r="IJ236" s="48"/>
      <c r="IK236" s="48"/>
      <c r="IL236" s="48"/>
      <c r="IM236" s="48"/>
      <c r="IN236" s="48"/>
      <c r="IO236" s="48"/>
      <c r="IP236" s="48"/>
      <c r="IQ236" s="48"/>
      <c r="IR236" s="48"/>
      <c r="IS236" s="48"/>
      <c r="IT236" s="48"/>
    </row>
    <row r="237" spans="1:19" s="3" customFormat="1" ht="36.75" customHeight="1">
      <c r="A237" s="119" t="s">
        <v>88</v>
      </c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</row>
    <row r="238" spans="1:19" s="3" customFormat="1" ht="14.25" customHeight="1">
      <c r="A238" s="121" t="s">
        <v>0</v>
      </c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</row>
    <row r="239" spans="1:19" s="4" customFormat="1" ht="14.25" customHeight="1">
      <c r="A239" s="122" t="s">
        <v>1</v>
      </c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</row>
    <row r="240" spans="4:19" ht="14.25" customHeight="1">
      <c r="D240" s="89"/>
      <c r="E240" s="18"/>
      <c r="F240" s="19"/>
      <c r="G240" s="90"/>
      <c r="H240" s="89"/>
      <c r="I240" s="8"/>
      <c r="J240" s="31"/>
      <c r="K240" s="101"/>
      <c r="L240" s="15"/>
      <c r="M240" s="91"/>
      <c r="N240" s="97"/>
      <c r="O240" s="91"/>
      <c r="P240" s="47"/>
      <c r="Q240" s="67"/>
      <c r="R240" s="67"/>
      <c r="S240" s="91"/>
    </row>
    <row r="241" spans="1:254" s="47" customFormat="1" ht="14.25" customHeight="1">
      <c r="A241" s="11" t="s">
        <v>2</v>
      </c>
      <c r="B241" s="12"/>
      <c r="C241" s="9" t="s">
        <v>71</v>
      </c>
      <c r="D241" s="17"/>
      <c r="E241" s="57" t="s">
        <v>2</v>
      </c>
      <c r="F241" s="68"/>
      <c r="G241" s="71"/>
      <c r="I241" s="57" t="s">
        <v>2</v>
      </c>
      <c r="J241" s="68"/>
      <c r="K241" s="71"/>
      <c r="M241" s="57" t="s">
        <v>2</v>
      </c>
      <c r="N241" s="68"/>
      <c r="O241" s="71"/>
      <c r="Q241" s="57" t="s">
        <v>2</v>
      </c>
      <c r="R241" s="68"/>
      <c r="S241" s="71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  <c r="EB241" s="48"/>
      <c r="EC241" s="48"/>
      <c r="ED241" s="48"/>
      <c r="EE241" s="48"/>
      <c r="EF241" s="48"/>
      <c r="EG241" s="48"/>
      <c r="EH241" s="48"/>
      <c r="EI241" s="48"/>
      <c r="EJ241" s="48"/>
      <c r="EK241" s="48"/>
      <c r="EL241" s="48"/>
      <c r="EM241" s="48"/>
      <c r="EN241" s="48"/>
      <c r="EO241" s="48"/>
      <c r="EP241" s="48"/>
      <c r="EQ241" s="48"/>
      <c r="ER241" s="48"/>
      <c r="ES241" s="48"/>
      <c r="ET241" s="48"/>
      <c r="EU241" s="48"/>
      <c r="EV241" s="48"/>
      <c r="EW241" s="48"/>
      <c r="EX241" s="48"/>
      <c r="EY241" s="48"/>
      <c r="EZ241" s="48"/>
      <c r="FA241" s="48"/>
      <c r="FB241" s="48"/>
      <c r="FC241" s="48"/>
      <c r="FD241" s="48"/>
      <c r="FE241" s="48"/>
      <c r="FF241" s="48"/>
      <c r="FG241" s="48"/>
      <c r="FH241" s="48"/>
      <c r="FI241" s="48"/>
      <c r="FJ241" s="48"/>
      <c r="FK241" s="48"/>
      <c r="FL241" s="48"/>
      <c r="FM241" s="48"/>
      <c r="FN241" s="48"/>
      <c r="FO241" s="48"/>
      <c r="FP241" s="48"/>
      <c r="FQ241" s="48"/>
      <c r="FR241" s="48"/>
      <c r="FS241" s="48"/>
      <c r="FT241" s="48"/>
      <c r="FU241" s="48"/>
      <c r="FV241" s="48"/>
      <c r="FW241" s="48"/>
      <c r="FX241" s="48"/>
      <c r="FY241" s="48"/>
      <c r="FZ241" s="48"/>
      <c r="GA241" s="48"/>
      <c r="GB241" s="48"/>
      <c r="GC241" s="48"/>
      <c r="GD241" s="48"/>
      <c r="GE241" s="48"/>
      <c r="GF241" s="48"/>
      <c r="GG241" s="48"/>
      <c r="GH241" s="48"/>
      <c r="GI241" s="48"/>
      <c r="GJ241" s="48"/>
      <c r="GK241" s="48"/>
      <c r="GL241" s="48"/>
      <c r="GM241" s="48"/>
      <c r="GN241" s="48"/>
      <c r="GO241" s="48"/>
      <c r="GP241" s="48"/>
      <c r="GQ241" s="48"/>
      <c r="GR241" s="48"/>
      <c r="GS241" s="48"/>
      <c r="GT241" s="48"/>
      <c r="GU241" s="48"/>
      <c r="GV241" s="48"/>
      <c r="GW241" s="48"/>
      <c r="GX241" s="48"/>
      <c r="GY241" s="48"/>
      <c r="GZ241" s="48"/>
      <c r="HA241" s="48"/>
      <c r="HB241" s="48"/>
      <c r="HC241" s="48"/>
      <c r="HD241" s="48"/>
      <c r="HE241" s="48"/>
      <c r="HF241" s="48"/>
      <c r="HG241" s="48"/>
      <c r="HH241" s="48"/>
      <c r="HI241" s="48"/>
      <c r="HJ241" s="48"/>
      <c r="HK241" s="48"/>
      <c r="HL241" s="48"/>
      <c r="HM241" s="48"/>
      <c r="HN241" s="48"/>
      <c r="HO241" s="48"/>
      <c r="HP241" s="48"/>
      <c r="HQ241" s="48"/>
      <c r="HR241" s="48"/>
      <c r="HS241" s="48"/>
      <c r="HT241" s="48"/>
      <c r="HU241" s="48"/>
      <c r="HV241" s="48"/>
      <c r="HW241" s="48"/>
      <c r="HX241" s="48"/>
      <c r="HY241" s="48"/>
      <c r="HZ241" s="48"/>
      <c r="IA241" s="48"/>
      <c r="IB241" s="48"/>
      <c r="IC241" s="48"/>
      <c r="ID241" s="48"/>
      <c r="IE241" s="48"/>
      <c r="IF241" s="48"/>
      <c r="IG241" s="48"/>
      <c r="IH241" s="48"/>
      <c r="II241" s="48"/>
      <c r="IJ241" s="48"/>
      <c r="IK241" s="48"/>
      <c r="IL241" s="48"/>
      <c r="IM241" s="48"/>
      <c r="IN241" s="48"/>
      <c r="IO241" s="48"/>
      <c r="IP241" s="48"/>
      <c r="IQ241" s="48"/>
      <c r="IR241" s="48"/>
      <c r="IS241" s="48"/>
      <c r="IT241" s="48"/>
    </row>
    <row r="242" spans="1:254" s="47" customFormat="1" ht="14.25" customHeight="1">
      <c r="A242" s="11" t="s">
        <v>5</v>
      </c>
      <c r="B242" s="12"/>
      <c r="C242" s="16" t="s">
        <v>207</v>
      </c>
      <c r="D242" s="17"/>
      <c r="E242" s="57" t="s">
        <v>5</v>
      </c>
      <c r="F242" s="68"/>
      <c r="G242" s="70" t="s">
        <v>207</v>
      </c>
      <c r="I242" s="57" t="s">
        <v>5</v>
      </c>
      <c r="J242" s="68"/>
      <c r="K242" s="70" t="s">
        <v>208</v>
      </c>
      <c r="M242" s="57" t="s">
        <v>5</v>
      </c>
      <c r="N242" s="68"/>
      <c r="O242" s="70" t="s">
        <v>209</v>
      </c>
      <c r="Q242" s="57" t="s">
        <v>5</v>
      </c>
      <c r="R242" s="68"/>
      <c r="S242" s="70" t="s">
        <v>210</v>
      </c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  <c r="EB242" s="48"/>
      <c r="EC242" s="48"/>
      <c r="ED242" s="48"/>
      <c r="EE242" s="48"/>
      <c r="EF242" s="48"/>
      <c r="EG242" s="48"/>
      <c r="EH242" s="48"/>
      <c r="EI242" s="48"/>
      <c r="EJ242" s="48"/>
      <c r="EK242" s="48"/>
      <c r="EL242" s="48"/>
      <c r="EM242" s="48"/>
      <c r="EN242" s="48"/>
      <c r="EO242" s="48"/>
      <c r="EP242" s="48"/>
      <c r="EQ242" s="48"/>
      <c r="ER242" s="48"/>
      <c r="ES242" s="48"/>
      <c r="ET242" s="48"/>
      <c r="EU242" s="48"/>
      <c r="EV242" s="48"/>
      <c r="EW242" s="48"/>
      <c r="EX242" s="48"/>
      <c r="EY242" s="48"/>
      <c r="EZ242" s="48"/>
      <c r="FA242" s="48"/>
      <c r="FB242" s="48"/>
      <c r="FC242" s="48"/>
      <c r="FD242" s="48"/>
      <c r="FE242" s="48"/>
      <c r="FF242" s="48"/>
      <c r="FG242" s="48"/>
      <c r="FH242" s="48"/>
      <c r="FI242" s="48"/>
      <c r="FJ242" s="48"/>
      <c r="FK242" s="48"/>
      <c r="FL242" s="48"/>
      <c r="FM242" s="48"/>
      <c r="FN242" s="48"/>
      <c r="FO242" s="48"/>
      <c r="FP242" s="48"/>
      <c r="FQ242" s="48"/>
      <c r="FR242" s="48"/>
      <c r="FS242" s="48"/>
      <c r="FT242" s="48"/>
      <c r="FU242" s="48"/>
      <c r="FV242" s="48"/>
      <c r="FW242" s="48"/>
      <c r="FX242" s="48"/>
      <c r="FY242" s="48"/>
      <c r="FZ242" s="48"/>
      <c r="GA242" s="48"/>
      <c r="GB242" s="48"/>
      <c r="GC242" s="48"/>
      <c r="GD242" s="48"/>
      <c r="GE242" s="48"/>
      <c r="GF242" s="48"/>
      <c r="GG242" s="48"/>
      <c r="GH242" s="48"/>
      <c r="GI242" s="48"/>
      <c r="GJ242" s="48"/>
      <c r="GK242" s="48"/>
      <c r="GL242" s="48"/>
      <c r="GM242" s="48"/>
      <c r="GN242" s="48"/>
      <c r="GO242" s="48"/>
      <c r="GP242" s="48"/>
      <c r="GQ242" s="48"/>
      <c r="GR242" s="48"/>
      <c r="GS242" s="48"/>
      <c r="GT242" s="48"/>
      <c r="GU242" s="48"/>
      <c r="GV242" s="48"/>
      <c r="GW242" s="48"/>
      <c r="GX242" s="48"/>
      <c r="GY242" s="48"/>
      <c r="GZ242" s="48"/>
      <c r="HA242" s="48"/>
      <c r="HB242" s="48"/>
      <c r="HC242" s="48"/>
      <c r="HD242" s="48"/>
      <c r="HE242" s="48"/>
      <c r="HF242" s="48"/>
      <c r="HG242" s="48"/>
      <c r="HH242" s="48"/>
      <c r="HI242" s="48"/>
      <c r="HJ242" s="48"/>
      <c r="HK242" s="48"/>
      <c r="HL242" s="48"/>
      <c r="HM242" s="48"/>
      <c r="HN242" s="48"/>
      <c r="HO242" s="48"/>
      <c r="HP242" s="48"/>
      <c r="HQ242" s="48"/>
      <c r="HR242" s="48"/>
      <c r="HS242" s="48"/>
      <c r="HT242" s="48"/>
      <c r="HU242" s="48"/>
      <c r="HV242" s="48"/>
      <c r="HW242" s="48"/>
      <c r="HX242" s="48"/>
      <c r="HY242" s="48"/>
      <c r="HZ242" s="48"/>
      <c r="IA242" s="48"/>
      <c r="IB242" s="48"/>
      <c r="IC242" s="48"/>
      <c r="ID242" s="48"/>
      <c r="IE242" s="48"/>
      <c r="IF242" s="48"/>
      <c r="IG242" s="48"/>
      <c r="IH242" s="48"/>
      <c r="II242" s="48"/>
      <c r="IJ242" s="48"/>
      <c r="IK242" s="48"/>
      <c r="IL242" s="48"/>
      <c r="IM242" s="48"/>
      <c r="IN242" s="48"/>
      <c r="IO242" s="48"/>
      <c r="IP242" s="48"/>
      <c r="IQ242" s="48"/>
      <c r="IR242" s="48"/>
      <c r="IS242" s="48"/>
      <c r="IT242" s="48"/>
    </row>
    <row r="243" spans="1:254" s="47" customFormat="1" ht="14.25" customHeight="1">
      <c r="A243" s="11" t="s">
        <v>8</v>
      </c>
      <c r="B243" s="12"/>
      <c r="C243" s="16" t="s">
        <v>211</v>
      </c>
      <c r="D243" s="17"/>
      <c r="E243" s="57" t="s">
        <v>8</v>
      </c>
      <c r="F243" s="68"/>
      <c r="G243" s="69" t="s">
        <v>211</v>
      </c>
      <c r="I243" s="57" t="s">
        <v>8</v>
      </c>
      <c r="J243" s="68"/>
      <c r="K243" s="69" t="s">
        <v>212</v>
      </c>
      <c r="M243" s="57" t="s">
        <v>8</v>
      </c>
      <c r="N243" s="68"/>
      <c r="O243" s="69" t="s">
        <v>213</v>
      </c>
      <c r="Q243" s="57" t="s">
        <v>8</v>
      </c>
      <c r="R243" s="68"/>
      <c r="S243" s="69" t="s">
        <v>214</v>
      </c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  <c r="EB243" s="48"/>
      <c r="EC243" s="48"/>
      <c r="ED243" s="48"/>
      <c r="EE243" s="48"/>
      <c r="EF243" s="48"/>
      <c r="EG243" s="48"/>
      <c r="EH243" s="48"/>
      <c r="EI243" s="48"/>
      <c r="EJ243" s="48"/>
      <c r="EK243" s="48"/>
      <c r="EL243" s="48"/>
      <c r="EM243" s="48"/>
      <c r="EN243" s="48"/>
      <c r="EO243" s="48"/>
      <c r="EP243" s="48"/>
      <c r="EQ243" s="48"/>
      <c r="ER243" s="48"/>
      <c r="ES243" s="48"/>
      <c r="ET243" s="48"/>
      <c r="EU243" s="48"/>
      <c r="EV243" s="48"/>
      <c r="EW243" s="48"/>
      <c r="EX243" s="48"/>
      <c r="EY243" s="48"/>
      <c r="EZ243" s="48"/>
      <c r="FA243" s="48"/>
      <c r="FB243" s="48"/>
      <c r="FC243" s="48"/>
      <c r="FD243" s="48"/>
      <c r="FE243" s="48"/>
      <c r="FF243" s="48"/>
      <c r="FG243" s="48"/>
      <c r="FH243" s="48"/>
      <c r="FI243" s="48"/>
      <c r="FJ243" s="48"/>
      <c r="FK243" s="48"/>
      <c r="FL243" s="48"/>
      <c r="FM243" s="48"/>
      <c r="FN243" s="48"/>
      <c r="FO243" s="48"/>
      <c r="FP243" s="48"/>
      <c r="FQ243" s="48"/>
      <c r="FR243" s="48"/>
      <c r="FS243" s="48"/>
      <c r="FT243" s="48"/>
      <c r="FU243" s="48"/>
      <c r="FV243" s="48"/>
      <c r="FW243" s="48"/>
      <c r="FX243" s="48"/>
      <c r="FY243" s="48"/>
      <c r="FZ243" s="48"/>
      <c r="GA243" s="48"/>
      <c r="GB243" s="48"/>
      <c r="GC243" s="48"/>
      <c r="GD243" s="48"/>
      <c r="GE243" s="48"/>
      <c r="GF243" s="48"/>
      <c r="GG243" s="48"/>
      <c r="GH243" s="48"/>
      <c r="GI243" s="48"/>
      <c r="GJ243" s="48"/>
      <c r="GK243" s="48"/>
      <c r="GL243" s="48"/>
      <c r="GM243" s="48"/>
      <c r="GN243" s="48"/>
      <c r="GO243" s="48"/>
      <c r="GP243" s="48"/>
      <c r="GQ243" s="48"/>
      <c r="GR243" s="48"/>
      <c r="GS243" s="48"/>
      <c r="GT243" s="48"/>
      <c r="GU243" s="48"/>
      <c r="GV243" s="48"/>
      <c r="GW243" s="48"/>
      <c r="GX243" s="48"/>
      <c r="GY243" s="48"/>
      <c r="GZ243" s="48"/>
      <c r="HA243" s="48"/>
      <c r="HB243" s="48"/>
      <c r="HC243" s="48"/>
      <c r="HD243" s="48"/>
      <c r="HE243" s="48"/>
      <c r="HF243" s="48"/>
      <c r="HG243" s="48"/>
      <c r="HH243" s="48"/>
      <c r="HI243" s="48"/>
      <c r="HJ243" s="48"/>
      <c r="HK243" s="48"/>
      <c r="HL243" s="48"/>
      <c r="HM243" s="48"/>
      <c r="HN243" s="48"/>
      <c r="HO243" s="48"/>
      <c r="HP243" s="48"/>
      <c r="HQ243" s="48"/>
      <c r="HR243" s="48"/>
      <c r="HS243" s="48"/>
      <c r="HT243" s="48"/>
      <c r="HU243" s="48"/>
      <c r="HV243" s="48"/>
      <c r="HW243" s="48"/>
      <c r="HX243" s="48"/>
      <c r="HY243" s="48"/>
      <c r="HZ243" s="48"/>
      <c r="IA243" s="48"/>
      <c r="IB243" s="48"/>
      <c r="IC243" s="48"/>
      <c r="ID243" s="48"/>
      <c r="IE243" s="48"/>
      <c r="IF243" s="48"/>
      <c r="IG243" s="48"/>
      <c r="IH243" s="48"/>
      <c r="II243" s="48"/>
      <c r="IJ243" s="48"/>
      <c r="IK243" s="48"/>
      <c r="IL243" s="48"/>
      <c r="IM243" s="48"/>
      <c r="IN243" s="48"/>
      <c r="IO243" s="48"/>
      <c r="IP243" s="48"/>
      <c r="IQ243" s="48"/>
      <c r="IR243" s="48"/>
      <c r="IS243" s="48"/>
      <c r="IT243" s="48"/>
    </row>
    <row r="244" spans="1:254" s="47" customFormat="1" ht="14.25" customHeight="1">
      <c r="A244" s="11" t="s">
        <v>14</v>
      </c>
      <c r="B244" s="12"/>
      <c r="C244" s="9"/>
      <c r="D244" s="17"/>
      <c r="E244" s="57" t="s">
        <v>14</v>
      </c>
      <c r="F244" s="68"/>
      <c r="G244" s="67"/>
      <c r="I244" s="57" t="s">
        <v>14</v>
      </c>
      <c r="J244" s="68"/>
      <c r="K244" s="67"/>
      <c r="M244" s="57" t="s">
        <v>14</v>
      </c>
      <c r="N244" s="68"/>
      <c r="O244" s="67"/>
      <c r="Q244" s="57" t="s">
        <v>14</v>
      </c>
      <c r="R244" s="68"/>
      <c r="S244" s="67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48"/>
      <c r="ED244" s="48"/>
      <c r="EE244" s="48"/>
      <c r="EF244" s="48"/>
      <c r="EG244" s="48"/>
      <c r="EH244" s="48"/>
      <c r="EI244" s="48"/>
      <c r="EJ244" s="48"/>
      <c r="EK244" s="48"/>
      <c r="EL244" s="48"/>
      <c r="EM244" s="48"/>
      <c r="EN244" s="48"/>
      <c r="EO244" s="48"/>
      <c r="EP244" s="48"/>
      <c r="EQ244" s="48"/>
      <c r="ER244" s="48"/>
      <c r="ES244" s="48"/>
      <c r="ET244" s="48"/>
      <c r="EU244" s="48"/>
      <c r="EV244" s="48"/>
      <c r="EW244" s="48"/>
      <c r="EX244" s="48"/>
      <c r="EY244" s="48"/>
      <c r="EZ244" s="48"/>
      <c r="FA244" s="48"/>
      <c r="FB244" s="48"/>
      <c r="FC244" s="48"/>
      <c r="FD244" s="48"/>
      <c r="FE244" s="48"/>
      <c r="FF244" s="48"/>
      <c r="FG244" s="48"/>
      <c r="FH244" s="48"/>
      <c r="FI244" s="48"/>
      <c r="FJ244" s="48"/>
      <c r="FK244" s="48"/>
      <c r="FL244" s="48"/>
      <c r="FM244" s="48"/>
      <c r="FN244" s="48"/>
      <c r="FO244" s="48"/>
      <c r="FP244" s="48"/>
      <c r="FQ244" s="48"/>
      <c r="FR244" s="48"/>
      <c r="FS244" s="48"/>
      <c r="FT244" s="48"/>
      <c r="FU244" s="48"/>
      <c r="FV244" s="48"/>
      <c r="FW244" s="48"/>
      <c r="FX244" s="48"/>
      <c r="FY244" s="48"/>
      <c r="FZ244" s="48"/>
      <c r="GA244" s="48"/>
      <c r="GB244" s="48"/>
      <c r="GC244" s="48"/>
      <c r="GD244" s="48"/>
      <c r="GE244" s="48"/>
      <c r="GF244" s="48"/>
      <c r="GG244" s="48"/>
      <c r="GH244" s="48"/>
      <c r="GI244" s="48"/>
      <c r="GJ244" s="48"/>
      <c r="GK244" s="48"/>
      <c r="GL244" s="48"/>
      <c r="GM244" s="48"/>
      <c r="GN244" s="48"/>
      <c r="GO244" s="48"/>
      <c r="GP244" s="48"/>
      <c r="GQ244" s="48"/>
      <c r="GR244" s="48"/>
      <c r="GS244" s="48"/>
      <c r="GT244" s="48"/>
      <c r="GU244" s="48"/>
      <c r="GV244" s="48"/>
      <c r="GW244" s="48"/>
      <c r="GX244" s="48"/>
      <c r="GY244" s="48"/>
      <c r="GZ244" s="48"/>
      <c r="HA244" s="48"/>
      <c r="HB244" s="48"/>
      <c r="HC244" s="48"/>
      <c r="HD244" s="48"/>
      <c r="HE244" s="48"/>
      <c r="HF244" s="48"/>
      <c r="HG244" s="48"/>
      <c r="HH244" s="48"/>
      <c r="HI244" s="48"/>
      <c r="HJ244" s="48"/>
      <c r="HK244" s="48"/>
      <c r="HL244" s="48"/>
      <c r="HM244" s="48"/>
      <c r="HN244" s="48"/>
      <c r="HO244" s="48"/>
      <c r="HP244" s="48"/>
      <c r="HQ244" s="48"/>
      <c r="HR244" s="48"/>
      <c r="HS244" s="48"/>
      <c r="HT244" s="48"/>
      <c r="HU244" s="48"/>
      <c r="HV244" s="48"/>
      <c r="HW244" s="48"/>
      <c r="HX244" s="48"/>
      <c r="HY244" s="48"/>
      <c r="HZ244" s="48"/>
      <c r="IA244" s="48"/>
      <c r="IB244" s="48"/>
      <c r="IC244" s="48"/>
      <c r="ID244" s="48"/>
      <c r="IE244" s="48"/>
      <c r="IF244" s="48"/>
      <c r="IG244" s="48"/>
      <c r="IH244" s="48"/>
      <c r="II244" s="48"/>
      <c r="IJ244" s="48"/>
      <c r="IK244" s="48"/>
      <c r="IL244" s="48"/>
      <c r="IM244" s="48"/>
      <c r="IN244" s="48"/>
      <c r="IO244" s="48"/>
      <c r="IP244" s="48"/>
      <c r="IQ244" s="48"/>
      <c r="IR244" s="48"/>
      <c r="IS244" s="48"/>
      <c r="IT244" s="48"/>
    </row>
    <row r="245" spans="1:254" s="5" customFormat="1" ht="14.25" customHeight="1">
      <c r="A245" s="5" t="s">
        <v>179</v>
      </c>
      <c r="B245" s="6">
        <v>841.042893187553</v>
      </c>
      <c r="C245" s="32">
        <f>B245/1000*$C$248</f>
        <v>841.042893187553</v>
      </c>
      <c r="D245" s="6"/>
      <c r="E245" s="61" t="s">
        <v>215</v>
      </c>
      <c r="F245" s="61">
        <v>55</v>
      </c>
      <c r="G245" s="61">
        <f>F245/94.23*$G$249</f>
        <v>583.6782341080335</v>
      </c>
      <c r="I245" s="61" t="s">
        <v>82</v>
      </c>
      <c r="J245" s="61">
        <v>900</v>
      </c>
      <c r="K245" s="61">
        <f>J245/908*$K$249</f>
        <v>991.1894273127754</v>
      </c>
      <c r="M245" s="92" t="s">
        <v>82</v>
      </c>
      <c r="N245" s="92">
        <v>900</v>
      </c>
      <c r="O245" s="92">
        <f>N245/908.8*$O$248</f>
        <v>990.3169014084507</v>
      </c>
      <c r="Q245" s="92" t="s">
        <v>138</v>
      </c>
      <c r="R245" s="92">
        <v>85</v>
      </c>
      <c r="S245" s="92">
        <f>R245/89.8*$S$249</f>
        <v>946.5478841870824</v>
      </c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  <c r="EB245" s="48"/>
      <c r="EC245" s="48"/>
      <c r="ED245" s="48"/>
      <c r="EE245" s="48"/>
      <c r="EF245" s="48"/>
      <c r="EG245" s="48"/>
      <c r="EH245" s="48"/>
      <c r="EI245" s="48"/>
      <c r="EJ245" s="48"/>
      <c r="EK245" s="48"/>
      <c r="EL245" s="48"/>
      <c r="EM245" s="48"/>
      <c r="EN245" s="48"/>
      <c r="EO245" s="48"/>
      <c r="EP245" s="48"/>
      <c r="EQ245" s="48"/>
      <c r="ER245" s="48"/>
      <c r="ES245" s="48"/>
      <c r="ET245" s="48"/>
      <c r="EU245" s="48"/>
      <c r="EV245" s="48"/>
      <c r="EW245" s="48"/>
      <c r="EX245" s="48"/>
      <c r="EY245" s="48"/>
      <c r="EZ245" s="48"/>
      <c r="FA245" s="48"/>
      <c r="FB245" s="48"/>
      <c r="FC245" s="48"/>
      <c r="FD245" s="48"/>
      <c r="FE245" s="48"/>
      <c r="FF245" s="48"/>
      <c r="FG245" s="48"/>
      <c r="FH245" s="48"/>
      <c r="FI245" s="48"/>
      <c r="FJ245" s="48"/>
      <c r="FK245" s="48"/>
      <c r="FL245" s="48"/>
      <c r="FM245" s="48"/>
      <c r="FN245" s="48"/>
      <c r="FO245" s="48"/>
      <c r="FP245" s="48"/>
      <c r="FQ245" s="48"/>
      <c r="FR245" s="48"/>
      <c r="FS245" s="48"/>
      <c r="FT245" s="48"/>
      <c r="FU245" s="48"/>
      <c r="FV245" s="48"/>
      <c r="FW245" s="48"/>
      <c r="FX245" s="48"/>
      <c r="FY245" s="48"/>
      <c r="FZ245" s="48"/>
      <c r="GA245" s="48"/>
      <c r="GB245" s="48"/>
      <c r="GC245" s="48"/>
      <c r="GD245" s="48"/>
      <c r="GE245" s="48"/>
      <c r="GF245" s="48"/>
      <c r="GG245" s="48"/>
      <c r="GH245" s="48"/>
      <c r="GI245" s="48"/>
      <c r="GJ245" s="48"/>
      <c r="GK245" s="48"/>
      <c r="GL245" s="48"/>
      <c r="GM245" s="48"/>
      <c r="GN245" s="48"/>
      <c r="GO245" s="48"/>
      <c r="GP245" s="48"/>
      <c r="GQ245" s="48"/>
      <c r="GR245" s="48"/>
      <c r="GS245" s="48"/>
      <c r="GT245" s="48"/>
      <c r="GU245" s="48"/>
      <c r="GV245" s="48"/>
      <c r="GW245" s="48"/>
      <c r="GX245" s="48"/>
      <c r="GY245" s="48"/>
      <c r="GZ245" s="48"/>
      <c r="HA245" s="48"/>
      <c r="HB245" s="48"/>
      <c r="HC245" s="48"/>
      <c r="HD245" s="48"/>
      <c r="HE245" s="48"/>
      <c r="HF245" s="48"/>
      <c r="HG245" s="48"/>
      <c r="HH245" s="48"/>
      <c r="HI245" s="48"/>
      <c r="HJ245" s="48"/>
      <c r="HK245" s="48"/>
      <c r="HL245" s="48"/>
      <c r="HM245" s="48"/>
      <c r="HN245" s="48"/>
      <c r="HO245" s="48"/>
      <c r="HP245" s="48"/>
      <c r="HQ245" s="48"/>
      <c r="HR245" s="48"/>
      <c r="HS245" s="48"/>
      <c r="HT245" s="48"/>
      <c r="HU245" s="48"/>
      <c r="HV245" s="48"/>
      <c r="HW245" s="48"/>
      <c r="HX245" s="48"/>
      <c r="HY245" s="48"/>
      <c r="HZ245" s="48"/>
      <c r="IA245" s="48"/>
      <c r="IB245" s="48"/>
      <c r="IC245" s="48"/>
      <c r="ID245" s="48"/>
      <c r="IE245" s="48"/>
      <c r="IF245" s="48"/>
      <c r="IG245" s="48"/>
      <c r="IH245" s="48"/>
      <c r="II245" s="48"/>
      <c r="IJ245" s="48"/>
      <c r="IK245" s="48"/>
      <c r="IL245" s="48"/>
      <c r="IM245" s="48"/>
      <c r="IN245" s="48"/>
      <c r="IO245" s="48"/>
      <c r="IP245" s="48"/>
      <c r="IQ245" s="48"/>
      <c r="IR245" s="48"/>
      <c r="IS245" s="48"/>
      <c r="IT245" s="48"/>
    </row>
    <row r="246" spans="1:254" s="5" customFormat="1" ht="14.25" customHeight="1">
      <c r="A246" s="5" t="s">
        <v>82</v>
      </c>
      <c r="B246" s="6">
        <v>151.387720773759</v>
      </c>
      <c r="C246" s="32">
        <f>B246/1000*$C$248</f>
        <v>151.387720773759</v>
      </c>
      <c r="D246" s="6"/>
      <c r="E246" s="61" t="s">
        <v>179</v>
      </c>
      <c r="F246" s="61">
        <v>23.2</v>
      </c>
      <c r="G246" s="61">
        <f>F246/94.23*$G$249</f>
        <v>246.20609147829776</v>
      </c>
      <c r="I246" s="61" t="s">
        <v>84</v>
      </c>
      <c r="J246" s="61">
        <v>3</v>
      </c>
      <c r="K246" s="61">
        <f>J246/908*$K$249</f>
        <v>3.303964757709251</v>
      </c>
      <c r="M246" s="92" t="s">
        <v>84</v>
      </c>
      <c r="N246" s="92">
        <v>8</v>
      </c>
      <c r="O246" s="92">
        <f>N246/908.8*$O$248</f>
        <v>8.802816901408452</v>
      </c>
      <c r="Q246" s="92" t="s">
        <v>139</v>
      </c>
      <c r="R246" s="92">
        <v>4.6</v>
      </c>
      <c r="S246" s="92">
        <f>R246/89.8*$S$249</f>
        <v>51.224944320712694</v>
      </c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  <c r="EB246" s="48"/>
      <c r="EC246" s="48"/>
      <c r="ED246" s="48"/>
      <c r="EE246" s="48"/>
      <c r="EF246" s="48"/>
      <c r="EG246" s="48"/>
      <c r="EH246" s="48"/>
      <c r="EI246" s="48"/>
      <c r="EJ246" s="48"/>
      <c r="EK246" s="48"/>
      <c r="EL246" s="48"/>
      <c r="EM246" s="48"/>
      <c r="EN246" s="48"/>
      <c r="EO246" s="48"/>
      <c r="EP246" s="48"/>
      <c r="EQ246" s="48"/>
      <c r="ER246" s="48"/>
      <c r="ES246" s="48"/>
      <c r="ET246" s="48"/>
      <c r="EU246" s="48"/>
      <c r="EV246" s="48"/>
      <c r="EW246" s="48"/>
      <c r="EX246" s="48"/>
      <c r="EY246" s="48"/>
      <c r="EZ246" s="48"/>
      <c r="FA246" s="48"/>
      <c r="FB246" s="48"/>
      <c r="FC246" s="48"/>
      <c r="FD246" s="48"/>
      <c r="FE246" s="48"/>
      <c r="FF246" s="48"/>
      <c r="FG246" s="48"/>
      <c r="FH246" s="48"/>
      <c r="FI246" s="48"/>
      <c r="FJ246" s="48"/>
      <c r="FK246" s="48"/>
      <c r="FL246" s="48"/>
      <c r="FM246" s="48"/>
      <c r="FN246" s="48"/>
      <c r="FO246" s="48"/>
      <c r="FP246" s="48"/>
      <c r="FQ246" s="48"/>
      <c r="FR246" s="48"/>
      <c r="FS246" s="48"/>
      <c r="FT246" s="48"/>
      <c r="FU246" s="48"/>
      <c r="FV246" s="48"/>
      <c r="FW246" s="48"/>
      <c r="FX246" s="48"/>
      <c r="FY246" s="48"/>
      <c r="FZ246" s="48"/>
      <c r="GA246" s="48"/>
      <c r="GB246" s="48"/>
      <c r="GC246" s="48"/>
      <c r="GD246" s="48"/>
      <c r="GE246" s="48"/>
      <c r="GF246" s="48"/>
      <c r="GG246" s="48"/>
      <c r="GH246" s="48"/>
      <c r="GI246" s="48"/>
      <c r="GJ246" s="48"/>
      <c r="GK246" s="48"/>
      <c r="GL246" s="48"/>
      <c r="GM246" s="48"/>
      <c r="GN246" s="48"/>
      <c r="GO246" s="48"/>
      <c r="GP246" s="48"/>
      <c r="GQ246" s="48"/>
      <c r="GR246" s="48"/>
      <c r="GS246" s="48"/>
      <c r="GT246" s="48"/>
      <c r="GU246" s="48"/>
      <c r="GV246" s="48"/>
      <c r="GW246" s="48"/>
      <c r="GX246" s="48"/>
      <c r="GY246" s="48"/>
      <c r="GZ246" s="48"/>
      <c r="HA246" s="48"/>
      <c r="HB246" s="48"/>
      <c r="HC246" s="48"/>
      <c r="HD246" s="48"/>
      <c r="HE246" s="48"/>
      <c r="HF246" s="48"/>
      <c r="HG246" s="48"/>
      <c r="HH246" s="48"/>
      <c r="HI246" s="48"/>
      <c r="HJ246" s="48"/>
      <c r="HK246" s="48"/>
      <c r="HL246" s="48"/>
      <c r="HM246" s="48"/>
      <c r="HN246" s="48"/>
      <c r="HO246" s="48"/>
      <c r="HP246" s="48"/>
      <c r="HQ246" s="48"/>
      <c r="HR246" s="48"/>
      <c r="HS246" s="48"/>
      <c r="HT246" s="48"/>
      <c r="HU246" s="48"/>
      <c r="HV246" s="48"/>
      <c r="HW246" s="48"/>
      <c r="HX246" s="48"/>
      <c r="HY246" s="48"/>
      <c r="HZ246" s="48"/>
      <c r="IA246" s="48"/>
      <c r="IB246" s="48"/>
      <c r="IC246" s="48"/>
      <c r="ID246" s="48"/>
      <c r="IE246" s="48"/>
      <c r="IF246" s="48"/>
      <c r="IG246" s="48"/>
      <c r="IH246" s="48"/>
      <c r="II246" s="48"/>
      <c r="IJ246" s="48"/>
      <c r="IK246" s="48"/>
      <c r="IL246" s="48"/>
      <c r="IM246" s="48"/>
      <c r="IN246" s="48"/>
      <c r="IO246" s="48"/>
      <c r="IP246" s="48"/>
      <c r="IQ246" s="48"/>
      <c r="IR246" s="48"/>
      <c r="IS246" s="48"/>
      <c r="IT246" s="48"/>
    </row>
    <row r="247" spans="1:254" s="5" customFormat="1" ht="14.25" customHeight="1">
      <c r="A247" s="5" t="s">
        <v>138</v>
      </c>
      <c r="B247" s="6">
        <v>7.56938603868797</v>
      </c>
      <c r="C247" s="32">
        <f>B247/1000*$C$248</f>
        <v>7.56938603868797</v>
      </c>
      <c r="D247" s="6"/>
      <c r="E247" s="61" t="s">
        <v>82</v>
      </c>
      <c r="F247" s="61">
        <v>15.9</v>
      </c>
      <c r="G247" s="61">
        <f>F247/94.23*$G$249</f>
        <v>168.73607131486787</v>
      </c>
      <c r="I247" s="61" t="s">
        <v>170</v>
      </c>
      <c r="J247" s="61">
        <v>2</v>
      </c>
      <c r="K247" s="61">
        <f>J247/908*$K$249</f>
        <v>2.2026431718061676</v>
      </c>
      <c r="M247" s="92" t="s">
        <v>83</v>
      </c>
      <c r="N247" s="92">
        <v>0.8</v>
      </c>
      <c r="O247" s="92">
        <f>N247/908.8*$O$248</f>
        <v>0.8802816901408452</v>
      </c>
      <c r="Q247" s="92" t="s">
        <v>82</v>
      </c>
      <c r="R247" s="92">
        <v>0.1</v>
      </c>
      <c r="S247" s="92">
        <f>R247/89.8*$S$249</f>
        <v>1.11358574610245</v>
      </c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  <c r="EB247" s="48"/>
      <c r="EC247" s="48"/>
      <c r="ED247" s="48"/>
      <c r="EE247" s="48"/>
      <c r="EF247" s="48"/>
      <c r="EG247" s="48"/>
      <c r="EH247" s="48"/>
      <c r="EI247" s="48"/>
      <c r="EJ247" s="48"/>
      <c r="EK247" s="48"/>
      <c r="EL247" s="48"/>
      <c r="EM247" s="48"/>
      <c r="EN247" s="48"/>
      <c r="EO247" s="48"/>
      <c r="EP247" s="48"/>
      <c r="EQ247" s="48"/>
      <c r="ER247" s="48"/>
      <c r="ES247" s="48"/>
      <c r="ET247" s="48"/>
      <c r="EU247" s="48"/>
      <c r="EV247" s="48"/>
      <c r="EW247" s="48"/>
      <c r="EX247" s="48"/>
      <c r="EY247" s="48"/>
      <c r="EZ247" s="48"/>
      <c r="FA247" s="48"/>
      <c r="FB247" s="48"/>
      <c r="FC247" s="48"/>
      <c r="FD247" s="48"/>
      <c r="FE247" s="48"/>
      <c r="FF247" s="48"/>
      <c r="FG247" s="48"/>
      <c r="FH247" s="48"/>
      <c r="FI247" s="48"/>
      <c r="FJ247" s="48"/>
      <c r="FK247" s="48"/>
      <c r="FL247" s="48"/>
      <c r="FM247" s="48"/>
      <c r="FN247" s="48"/>
      <c r="FO247" s="48"/>
      <c r="FP247" s="48"/>
      <c r="FQ247" s="48"/>
      <c r="FR247" s="48"/>
      <c r="FS247" s="48"/>
      <c r="FT247" s="48"/>
      <c r="FU247" s="48"/>
      <c r="FV247" s="48"/>
      <c r="FW247" s="48"/>
      <c r="FX247" s="48"/>
      <c r="FY247" s="48"/>
      <c r="FZ247" s="48"/>
      <c r="GA247" s="48"/>
      <c r="GB247" s="48"/>
      <c r="GC247" s="48"/>
      <c r="GD247" s="48"/>
      <c r="GE247" s="48"/>
      <c r="GF247" s="48"/>
      <c r="GG247" s="48"/>
      <c r="GH247" s="48"/>
      <c r="GI247" s="48"/>
      <c r="GJ247" s="48"/>
      <c r="GK247" s="48"/>
      <c r="GL247" s="48"/>
      <c r="GM247" s="48"/>
      <c r="GN247" s="48"/>
      <c r="GO247" s="48"/>
      <c r="GP247" s="48"/>
      <c r="GQ247" s="48"/>
      <c r="GR247" s="48"/>
      <c r="GS247" s="48"/>
      <c r="GT247" s="48"/>
      <c r="GU247" s="48"/>
      <c r="GV247" s="48"/>
      <c r="GW247" s="48"/>
      <c r="GX247" s="48"/>
      <c r="GY247" s="48"/>
      <c r="GZ247" s="48"/>
      <c r="HA247" s="48"/>
      <c r="HB247" s="48"/>
      <c r="HC247" s="48"/>
      <c r="HD247" s="48"/>
      <c r="HE247" s="48"/>
      <c r="HF247" s="48"/>
      <c r="HG247" s="48"/>
      <c r="HH247" s="48"/>
      <c r="HI247" s="48"/>
      <c r="HJ247" s="48"/>
      <c r="HK247" s="48"/>
      <c r="HL247" s="48"/>
      <c r="HM247" s="48"/>
      <c r="HN247" s="48"/>
      <c r="HO247" s="48"/>
      <c r="HP247" s="48"/>
      <c r="HQ247" s="48"/>
      <c r="HR247" s="48"/>
      <c r="HS247" s="48"/>
      <c r="HT247" s="48"/>
      <c r="HU247" s="48"/>
      <c r="HV247" s="48"/>
      <c r="HW247" s="48"/>
      <c r="HX247" s="48"/>
      <c r="HY247" s="48"/>
      <c r="HZ247" s="48"/>
      <c r="IA247" s="48"/>
      <c r="IB247" s="48"/>
      <c r="IC247" s="48"/>
      <c r="ID247" s="48"/>
      <c r="IE247" s="48"/>
      <c r="IF247" s="48"/>
      <c r="IG247" s="48"/>
      <c r="IH247" s="48"/>
      <c r="II247" s="48"/>
      <c r="IJ247" s="48"/>
      <c r="IK247" s="48"/>
      <c r="IL247" s="48"/>
      <c r="IM247" s="48"/>
      <c r="IN247" s="48"/>
      <c r="IO247" s="48"/>
      <c r="IP247" s="48"/>
      <c r="IQ247" s="48"/>
      <c r="IR247" s="48"/>
      <c r="IS247" s="48"/>
      <c r="IT247" s="48"/>
    </row>
    <row r="248" spans="1:254" s="5" customFormat="1" ht="14.25" customHeight="1">
      <c r="A248" s="8" t="s">
        <v>30</v>
      </c>
      <c r="C248" s="30">
        <v>1000</v>
      </c>
      <c r="D248" s="6"/>
      <c r="E248" s="61" t="s">
        <v>84</v>
      </c>
      <c r="F248" s="61">
        <v>0.13</v>
      </c>
      <c r="G248" s="61">
        <f>F248/94.23*$G$249</f>
        <v>1.3796030988008066</v>
      </c>
      <c r="I248" s="61" t="s">
        <v>216</v>
      </c>
      <c r="J248" s="61">
        <v>3</v>
      </c>
      <c r="K248" s="61">
        <f>J248/908*$K$249</f>
        <v>3.303964757709251</v>
      </c>
      <c r="M248" s="91" t="s">
        <v>30</v>
      </c>
      <c r="N248" s="67"/>
      <c r="O248" s="91">
        <v>1000</v>
      </c>
      <c r="Q248" s="92" t="s">
        <v>84</v>
      </c>
      <c r="R248" s="92">
        <v>0.1</v>
      </c>
      <c r="S248" s="92">
        <f>R248/89.8*$S$249</f>
        <v>1.11358574610245</v>
      </c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  <c r="EB248" s="48"/>
      <c r="EC248" s="48"/>
      <c r="ED248" s="48"/>
      <c r="EE248" s="48"/>
      <c r="EF248" s="48"/>
      <c r="EG248" s="48"/>
      <c r="EH248" s="48"/>
      <c r="EI248" s="48"/>
      <c r="EJ248" s="48"/>
      <c r="EK248" s="48"/>
      <c r="EL248" s="48"/>
      <c r="EM248" s="48"/>
      <c r="EN248" s="48"/>
      <c r="EO248" s="48"/>
      <c r="EP248" s="48"/>
      <c r="EQ248" s="48"/>
      <c r="ER248" s="48"/>
      <c r="ES248" s="48"/>
      <c r="ET248" s="48"/>
      <c r="EU248" s="48"/>
      <c r="EV248" s="48"/>
      <c r="EW248" s="48"/>
      <c r="EX248" s="48"/>
      <c r="EY248" s="48"/>
      <c r="EZ248" s="48"/>
      <c r="FA248" s="48"/>
      <c r="FB248" s="48"/>
      <c r="FC248" s="48"/>
      <c r="FD248" s="48"/>
      <c r="FE248" s="48"/>
      <c r="FF248" s="48"/>
      <c r="FG248" s="48"/>
      <c r="FH248" s="48"/>
      <c r="FI248" s="48"/>
      <c r="FJ248" s="48"/>
      <c r="FK248" s="48"/>
      <c r="FL248" s="48"/>
      <c r="FM248" s="48"/>
      <c r="FN248" s="48"/>
      <c r="FO248" s="48"/>
      <c r="FP248" s="48"/>
      <c r="FQ248" s="48"/>
      <c r="FR248" s="48"/>
      <c r="FS248" s="48"/>
      <c r="FT248" s="48"/>
      <c r="FU248" s="48"/>
      <c r="FV248" s="48"/>
      <c r="FW248" s="48"/>
      <c r="FX248" s="48"/>
      <c r="FY248" s="48"/>
      <c r="FZ248" s="48"/>
      <c r="GA248" s="48"/>
      <c r="GB248" s="48"/>
      <c r="GC248" s="48"/>
      <c r="GD248" s="48"/>
      <c r="GE248" s="48"/>
      <c r="GF248" s="48"/>
      <c r="GG248" s="48"/>
      <c r="GH248" s="48"/>
      <c r="GI248" s="48"/>
      <c r="GJ248" s="48"/>
      <c r="GK248" s="48"/>
      <c r="GL248" s="48"/>
      <c r="GM248" s="48"/>
      <c r="GN248" s="48"/>
      <c r="GO248" s="48"/>
      <c r="GP248" s="48"/>
      <c r="GQ248" s="48"/>
      <c r="GR248" s="48"/>
      <c r="GS248" s="48"/>
      <c r="GT248" s="48"/>
      <c r="GU248" s="48"/>
      <c r="GV248" s="48"/>
      <c r="GW248" s="48"/>
      <c r="GX248" s="48"/>
      <c r="GY248" s="48"/>
      <c r="GZ248" s="48"/>
      <c r="HA248" s="48"/>
      <c r="HB248" s="48"/>
      <c r="HC248" s="48"/>
      <c r="HD248" s="48"/>
      <c r="HE248" s="48"/>
      <c r="HF248" s="48"/>
      <c r="HG248" s="48"/>
      <c r="HH248" s="48"/>
      <c r="HI248" s="48"/>
      <c r="HJ248" s="48"/>
      <c r="HK248" s="48"/>
      <c r="HL248" s="48"/>
      <c r="HM248" s="48"/>
      <c r="HN248" s="48"/>
      <c r="HO248" s="48"/>
      <c r="HP248" s="48"/>
      <c r="HQ248" s="48"/>
      <c r="HR248" s="48"/>
      <c r="HS248" s="48"/>
      <c r="HT248" s="48"/>
      <c r="HU248" s="48"/>
      <c r="HV248" s="48"/>
      <c r="HW248" s="48"/>
      <c r="HX248" s="48"/>
      <c r="HY248" s="48"/>
      <c r="HZ248" s="48"/>
      <c r="IA248" s="48"/>
      <c r="IB248" s="48"/>
      <c r="IC248" s="48"/>
      <c r="ID248" s="48"/>
      <c r="IE248" s="48"/>
      <c r="IF248" s="48"/>
      <c r="IG248" s="48"/>
      <c r="IH248" s="48"/>
      <c r="II248" s="48"/>
      <c r="IJ248" s="48"/>
      <c r="IK248" s="48"/>
      <c r="IL248" s="48"/>
      <c r="IM248" s="48"/>
      <c r="IN248" s="48"/>
      <c r="IO248" s="48"/>
      <c r="IP248" s="48"/>
      <c r="IQ248" s="48"/>
      <c r="IR248" s="48"/>
      <c r="IS248" s="48"/>
      <c r="IT248" s="48"/>
    </row>
    <row r="249" spans="1:254" s="5" customFormat="1" ht="14.25" customHeight="1">
      <c r="A249" s="8"/>
      <c r="C249" s="30"/>
      <c r="D249" s="6"/>
      <c r="E249" s="67" t="s">
        <v>30</v>
      </c>
      <c r="F249" s="67"/>
      <c r="G249" s="91">
        <v>1000</v>
      </c>
      <c r="I249" s="67" t="s">
        <v>30</v>
      </c>
      <c r="J249" s="67"/>
      <c r="K249" s="91">
        <v>1000</v>
      </c>
      <c r="M249" s="40"/>
      <c r="N249" s="47"/>
      <c r="Q249" s="91" t="s">
        <v>30</v>
      </c>
      <c r="R249" s="67"/>
      <c r="S249" s="91">
        <v>1000</v>
      </c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  <c r="EB249" s="48"/>
      <c r="EC249" s="48"/>
      <c r="ED249" s="48"/>
      <c r="EE249" s="48"/>
      <c r="EF249" s="48"/>
      <c r="EG249" s="48"/>
      <c r="EH249" s="48"/>
      <c r="EI249" s="48"/>
      <c r="EJ249" s="48"/>
      <c r="EK249" s="48"/>
      <c r="EL249" s="48"/>
      <c r="EM249" s="48"/>
      <c r="EN249" s="48"/>
      <c r="EO249" s="48"/>
      <c r="EP249" s="48"/>
      <c r="EQ249" s="48"/>
      <c r="ER249" s="48"/>
      <c r="ES249" s="48"/>
      <c r="ET249" s="48"/>
      <c r="EU249" s="48"/>
      <c r="EV249" s="48"/>
      <c r="EW249" s="48"/>
      <c r="EX249" s="48"/>
      <c r="EY249" s="48"/>
      <c r="EZ249" s="48"/>
      <c r="FA249" s="48"/>
      <c r="FB249" s="48"/>
      <c r="FC249" s="48"/>
      <c r="FD249" s="48"/>
      <c r="FE249" s="48"/>
      <c r="FF249" s="48"/>
      <c r="FG249" s="48"/>
      <c r="FH249" s="48"/>
      <c r="FI249" s="48"/>
      <c r="FJ249" s="48"/>
      <c r="FK249" s="48"/>
      <c r="FL249" s="48"/>
      <c r="FM249" s="48"/>
      <c r="FN249" s="48"/>
      <c r="FO249" s="48"/>
      <c r="FP249" s="48"/>
      <c r="FQ249" s="48"/>
      <c r="FR249" s="48"/>
      <c r="FS249" s="48"/>
      <c r="FT249" s="48"/>
      <c r="FU249" s="48"/>
      <c r="FV249" s="48"/>
      <c r="FW249" s="48"/>
      <c r="FX249" s="48"/>
      <c r="FY249" s="48"/>
      <c r="FZ249" s="48"/>
      <c r="GA249" s="48"/>
      <c r="GB249" s="48"/>
      <c r="GC249" s="48"/>
      <c r="GD249" s="48"/>
      <c r="GE249" s="48"/>
      <c r="GF249" s="48"/>
      <c r="GG249" s="48"/>
      <c r="GH249" s="48"/>
      <c r="GI249" s="48"/>
      <c r="GJ249" s="48"/>
      <c r="GK249" s="48"/>
      <c r="GL249" s="48"/>
      <c r="GM249" s="48"/>
      <c r="GN249" s="48"/>
      <c r="GO249" s="48"/>
      <c r="GP249" s="48"/>
      <c r="GQ249" s="48"/>
      <c r="GR249" s="48"/>
      <c r="GS249" s="48"/>
      <c r="GT249" s="48"/>
      <c r="GU249" s="48"/>
      <c r="GV249" s="48"/>
      <c r="GW249" s="48"/>
      <c r="GX249" s="48"/>
      <c r="GY249" s="48"/>
      <c r="GZ249" s="48"/>
      <c r="HA249" s="48"/>
      <c r="HB249" s="48"/>
      <c r="HC249" s="48"/>
      <c r="HD249" s="48"/>
      <c r="HE249" s="48"/>
      <c r="HF249" s="48"/>
      <c r="HG249" s="48"/>
      <c r="HH249" s="48"/>
      <c r="HI249" s="48"/>
      <c r="HJ249" s="48"/>
      <c r="HK249" s="48"/>
      <c r="HL249" s="48"/>
      <c r="HM249" s="48"/>
      <c r="HN249" s="48"/>
      <c r="HO249" s="48"/>
      <c r="HP249" s="48"/>
      <c r="HQ249" s="48"/>
      <c r="HR249" s="48"/>
      <c r="HS249" s="48"/>
      <c r="HT249" s="48"/>
      <c r="HU249" s="48"/>
      <c r="HV249" s="48"/>
      <c r="HW249" s="48"/>
      <c r="HX249" s="48"/>
      <c r="HY249" s="48"/>
      <c r="HZ249" s="48"/>
      <c r="IA249" s="48"/>
      <c r="IB249" s="48"/>
      <c r="IC249" s="48"/>
      <c r="ID249" s="48"/>
      <c r="IE249" s="48"/>
      <c r="IF249" s="48"/>
      <c r="IG249" s="48"/>
      <c r="IH249" s="48"/>
      <c r="II249" s="48"/>
      <c r="IJ249" s="48"/>
      <c r="IK249" s="48"/>
      <c r="IL249" s="48"/>
      <c r="IM249" s="48"/>
      <c r="IN249" s="48"/>
      <c r="IO249" s="48"/>
      <c r="IP249" s="48"/>
      <c r="IQ249" s="48"/>
      <c r="IR249" s="48"/>
      <c r="IS249" s="48"/>
      <c r="IT249" s="48"/>
    </row>
    <row r="250" spans="1:254" s="47" customFormat="1" ht="14.25" customHeight="1">
      <c r="A250" s="8"/>
      <c r="C250" s="30"/>
      <c r="D250" s="17"/>
      <c r="E250" s="64"/>
      <c r="F250" s="64"/>
      <c r="G250" s="64"/>
      <c r="I250" s="64"/>
      <c r="J250" s="64"/>
      <c r="K250" s="64"/>
      <c r="M250" s="40"/>
      <c r="O250" s="5"/>
      <c r="Q250" s="91"/>
      <c r="R250" s="67"/>
      <c r="S250" s="91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  <c r="EB250" s="48"/>
      <c r="EC250" s="48"/>
      <c r="ED250" s="48"/>
      <c r="EE250" s="48"/>
      <c r="EF250" s="48"/>
      <c r="EG250" s="48"/>
      <c r="EH250" s="48"/>
      <c r="EI250" s="48"/>
      <c r="EJ250" s="48"/>
      <c r="EK250" s="48"/>
      <c r="EL250" s="48"/>
      <c r="EM250" s="48"/>
      <c r="EN250" s="48"/>
      <c r="EO250" s="48"/>
      <c r="EP250" s="48"/>
      <c r="EQ250" s="48"/>
      <c r="ER250" s="48"/>
      <c r="ES250" s="48"/>
      <c r="ET250" s="48"/>
      <c r="EU250" s="48"/>
      <c r="EV250" s="48"/>
      <c r="EW250" s="48"/>
      <c r="EX250" s="48"/>
      <c r="EY250" s="48"/>
      <c r="EZ250" s="48"/>
      <c r="FA250" s="48"/>
      <c r="FB250" s="48"/>
      <c r="FC250" s="48"/>
      <c r="FD250" s="48"/>
      <c r="FE250" s="48"/>
      <c r="FF250" s="48"/>
      <c r="FG250" s="48"/>
      <c r="FH250" s="48"/>
      <c r="FI250" s="48"/>
      <c r="FJ250" s="48"/>
      <c r="FK250" s="48"/>
      <c r="FL250" s="48"/>
      <c r="FM250" s="48"/>
      <c r="FN250" s="48"/>
      <c r="FO250" s="48"/>
      <c r="FP250" s="48"/>
      <c r="FQ250" s="48"/>
      <c r="FR250" s="48"/>
      <c r="FS250" s="48"/>
      <c r="FT250" s="48"/>
      <c r="FU250" s="48"/>
      <c r="FV250" s="48"/>
      <c r="FW250" s="48"/>
      <c r="FX250" s="48"/>
      <c r="FY250" s="48"/>
      <c r="FZ250" s="48"/>
      <c r="GA250" s="48"/>
      <c r="GB250" s="48"/>
      <c r="GC250" s="48"/>
      <c r="GD250" s="48"/>
      <c r="GE250" s="48"/>
      <c r="GF250" s="48"/>
      <c r="GG250" s="48"/>
      <c r="GH250" s="48"/>
      <c r="GI250" s="48"/>
      <c r="GJ250" s="48"/>
      <c r="GK250" s="48"/>
      <c r="GL250" s="48"/>
      <c r="GM250" s="48"/>
      <c r="GN250" s="48"/>
      <c r="GO250" s="48"/>
      <c r="GP250" s="48"/>
      <c r="GQ250" s="48"/>
      <c r="GR250" s="48"/>
      <c r="GS250" s="48"/>
      <c r="GT250" s="48"/>
      <c r="GU250" s="48"/>
      <c r="GV250" s="48"/>
      <c r="GW250" s="48"/>
      <c r="GX250" s="48"/>
      <c r="GY250" s="48"/>
      <c r="GZ250" s="48"/>
      <c r="HA250" s="48"/>
      <c r="HB250" s="48"/>
      <c r="HC250" s="48"/>
      <c r="HD250" s="48"/>
      <c r="HE250" s="48"/>
      <c r="HF250" s="48"/>
      <c r="HG250" s="48"/>
      <c r="HH250" s="48"/>
      <c r="HI250" s="48"/>
      <c r="HJ250" s="48"/>
      <c r="HK250" s="48"/>
      <c r="HL250" s="48"/>
      <c r="HM250" s="48"/>
      <c r="HN250" s="48"/>
      <c r="HO250" s="48"/>
      <c r="HP250" s="48"/>
      <c r="HQ250" s="48"/>
      <c r="HR250" s="48"/>
      <c r="HS250" s="48"/>
      <c r="HT250" s="48"/>
      <c r="HU250" s="48"/>
      <c r="HV250" s="48"/>
      <c r="HW250" s="48"/>
      <c r="HX250" s="48"/>
      <c r="HY250" s="48"/>
      <c r="HZ250" s="48"/>
      <c r="IA250" s="48"/>
      <c r="IB250" s="48"/>
      <c r="IC250" s="48"/>
      <c r="ID250" s="48"/>
      <c r="IE250" s="48"/>
      <c r="IF250" s="48"/>
      <c r="IG250" s="48"/>
      <c r="IH250" s="48"/>
      <c r="II250" s="48"/>
      <c r="IJ250" s="48"/>
      <c r="IK250" s="48"/>
      <c r="IL250" s="48"/>
      <c r="IM250" s="48"/>
      <c r="IN250" s="48"/>
      <c r="IO250" s="48"/>
      <c r="IP250" s="48"/>
      <c r="IQ250" s="48"/>
      <c r="IR250" s="48"/>
      <c r="IS250" s="48"/>
      <c r="IT250" s="48"/>
    </row>
    <row r="251" spans="1:254" s="112" customFormat="1" ht="14.25" customHeight="1">
      <c r="A251" s="40"/>
      <c r="B251" s="17"/>
      <c r="C251" s="6"/>
      <c r="D251" s="17"/>
      <c r="E251" s="41"/>
      <c r="F251" s="17"/>
      <c r="G251" s="6"/>
      <c r="H251" s="65"/>
      <c r="I251" s="41"/>
      <c r="J251" s="47"/>
      <c r="K251" s="5"/>
      <c r="L251" s="47"/>
      <c r="M251" s="40"/>
      <c r="N251" s="47"/>
      <c r="O251" s="5"/>
      <c r="P251" s="47"/>
      <c r="Q251" s="40"/>
      <c r="R251" s="47"/>
      <c r="S251" s="5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  <c r="EB251" s="48"/>
      <c r="EC251" s="48"/>
      <c r="ED251" s="48"/>
      <c r="EE251" s="48"/>
      <c r="EF251" s="48"/>
      <c r="EG251" s="48"/>
      <c r="EH251" s="48"/>
      <c r="EI251" s="48"/>
      <c r="EJ251" s="48"/>
      <c r="EK251" s="48"/>
      <c r="EL251" s="48"/>
      <c r="EM251" s="48"/>
      <c r="EN251" s="48"/>
      <c r="EO251" s="48"/>
      <c r="EP251" s="48"/>
      <c r="EQ251" s="48"/>
      <c r="ER251" s="48"/>
      <c r="ES251" s="48"/>
      <c r="ET251" s="48"/>
      <c r="EU251" s="48"/>
      <c r="EV251" s="48"/>
      <c r="EW251" s="48"/>
      <c r="EX251" s="48"/>
      <c r="EY251" s="48"/>
      <c r="EZ251" s="48"/>
      <c r="FA251" s="48"/>
      <c r="FB251" s="48"/>
      <c r="FC251" s="48"/>
      <c r="FD251" s="48"/>
      <c r="FE251" s="48"/>
      <c r="FF251" s="48"/>
      <c r="FG251" s="48"/>
      <c r="FH251" s="48"/>
      <c r="FI251" s="48"/>
      <c r="FJ251" s="48"/>
      <c r="FK251" s="48"/>
      <c r="FL251" s="48"/>
      <c r="FM251" s="48"/>
      <c r="FN251" s="48"/>
      <c r="FO251" s="48"/>
      <c r="FP251" s="48"/>
      <c r="FQ251" s="48"/>
      <c r="FR251" s="48"/>
      <c r="FS251" s="48"/>
      <c r="FT251" s="48"/>
      <c r="FU251" s="48"/>
      <c r="FV251" s="48"/>
      <c r="FW251" s="48"/>
      <c r="FX251" s="48"/>
      <c r="FY251" s="48"/>
      <c r="FZ251" s="48"/>
      <c r="GA251" s="48"/>
      <c r="GB251" s="48"/>
      <c r="GC251" s="48"/>
      <c r="GD251" s="48"/>
      <c r="GE251" s="48"/>
      <c r="GF251" s="48"/>
      <c r="GG251" s="48"/>
      <c r="GH251" s="48"/>
      <c r="GI251" s="48"/>
      <c r="GJ251" s="48"/>
      <c r="GK251" s="48"/>
      <c r="GL251" s="48"/>
      <c r="GM251" s="48"/>
      <c r="GN251" s="48"/>
      <c r="GO251" s="48"/>
      <c r="GP251" s="48"/>
      <c r="GQ251" s="48"/>
      <c r="GR251" s="48"/>
      <c r="GS251" s="48"/>
      <c r="GT251" s="48"/>
      <c r="GU251" s="48"/>
      <c r="GV251" s="48"/>
      <c r="GW251" s="48"/>
      <c r="GX251" s="48"/>
      <c r="GY251" s="48"/>
      <c r="GZ251" s="48"/>
      <c r="HA251" s="48"/>
      <c r="HB251" s="48"/>
      <c r="HC251" s="48"/>
      <c r="HD251" s="48"/>
      <c r="HE251" s="48"/>
      <c r="HF251" s="48"/>
      <c r="HG251" s="48"/>
      <c r="HH251" s="48"/>
      <c r="HI251" s="48"/>
      <c r="HJ251" s="48"/>
      <c r="HK251" s="48"/>
      <c r="HL251" s="48"/>
      <c r="HM251" s="48"/>
      <c r="HN251" s="48"/>
      <c r="HO251" s="48"/>
      <c r="HP251" s="48"/>
      <c r="HQ251" s="48"/>
      <c r="HR251" s="48"/>
      <c r="HS251" s="48"/>
      <c r="HT251" s="48"/>
      <c r="HU251" s="48"/>
      <c r="HV251" s="48"/>
      <c r="HW251" s="48"/>
      <c r="HX251" s="48"/>
      <c r="HY251" s="48"/>
      <c r="HZ251" s="48"/>
      <c r="IA251" s="48"/>
      <c r="IB251" s="48"/>
      <c r="IC251" s="48"/>
      <c r="ID251" s="48"/>
      <c r="IE251" s="48"/>
      <c r="IF251" s="48"/>
      <c r="IG251" s="48"/>
      <c r="IH251" s="48"/>
      <c r="II251" s="48"/>
      <c r="IJ251" s="48"/>
      <c r="IK251" s="48"/>
      <c r="IL251" s="48"/>
      <c r="IM251" s="48"/>
      <c r="IN251" s="48"/>
      <c r="IO251" s="48"/>
      <c r="IP251" s="48"/>
      <c r="IQ251" s="48"/>
      <c r="IR251" s="48"/>
      <c r="IS251" s="48"/>
      <c r="IT251" s="48"/>
    </row>
    <row r="252" spans="1:254" s="112" customFormat="1" ht="14.25" customHeight="1">
      <c r="A252" s="57" t="s">
        <v>2</v>
      </c>
      <c r="B252" s="68"/>
      <c r="C252" s="71"/>
      <c r="D252" s="17"/>
      <c r="E252" s="57" t="s">
        <v>2</v>
      </c>
      <c r="F252" s="68"/>
      <c r="G252" s="71"/>
      <c r="H252" s="47"/>
      <c r="I252" s="57" t="s">
        <v>2</v>
      </c>
      <c r="J252" s="68"/>
      <c r="K252" s="71"/>
      <c r="L252" s="47"/>
      <c r="M252" s="57" t="s">
        <v>2</v>
      </c>
      <c r="N252" s="68"/>
      <c r="O252" s="71"/>
      <c r="P252" s="47"/>
      <c r="Q252" s="57" t="s">
        <v>2</v>
      </c>
      <c r="R252" s="68"/>
      <c r="S252" s="71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  <c r="EB252" s="48"/>
      <c r="EC252" s="48"/>
      <c r="ED252" s="48"/>
      <c r="EE252" s="48"/>
      <c r="EF252" s="48"/>
      <c r="EG252" s="48"/>
      <c r="EH252" s="48"/>
      <c r="EI252" s="48"/>
      <c r="EJ252" s="48"/>
      <c r="EK252" s="48"/>
      <c r="EL252" s="48"/>
      <c r="EM252" s="48"/>
      <c r="EN252" s="48"/>
      <c r="EO252" s="48"/>
      <c r="EP252" s="48"/>
      <c r="EQ252" s="48"/>
      <c r="ER252" s="48"/>
      <c r="ES252" s="48"/>
      <c r="ET252" s="48"/>
      <c r="EU252" s="48"/>
      <c r="EV252" s="48"/>
      <c r="EW252" s="48"/>
      <c r="EX252" s="48"/>
      <c r="EY252" s="48"/>
      <c r="EZ252" s="48"/>
      <c r="FA252" s="48"/>
      <c r="FB252" s="48"/>
      <c r="FC252" s="48"/>
      <c r="FD252" s="48"/>
      <c r="FE252" s="48"/>
      <c r="FF252" s="48"/>
      <c r="FG252" s="48"/>
      <c r="FH252" s="48"/>
      <c r="FI252" s="48"/>
      <c r="FJ252" s="48"/>
      <c r="FK252" s="48"/>
      <c r="FL252" s="48"/>
      <c r="FM252" s="48"/>
      <c r="FN252" s="48"/>
      <c r="FO252" s="48"/>
      <c r="FP252" s="48"/>
      <c r="FQ252" s="48"/>
      <c r="FR252" s="48"/>
      <c r="FS252" s="48"/>
      <c r="FT252" s="48"/>
      <c r="FU252" s="48"/>
      <c r="FV252" s="48"/>
      <c r="FW252" s="48"/>
      <c r="FX252" s="48"/>
      <c r="FY252" s="48"/>
      <c r="FZ252" s="48"/>
      <c r="GA252" s="48"/>
      <c r="GB252" s="48"/>
      <c r="GC252" s="48"/>
      <c r="GD252" s="48"/>
      <c r="GE252" s="48"/>
      <c r="GF252" s="48"/>
      <c r="GG252" s="48"/>
      <c r="GH252" s="48"/>
      <c r="GI252" s="48"/>
      <c r="GJ252" s="48"/>
      <c r="GK252" s="48"/>
      <c r="GL252" s="48"/>
      <c r="GM252" s="48"/>
      <c r="GN252" s="48"/>
      <c r="GO252" s="48"/>
      <c r="GP252" s="48"/>
      <c r="GQ252" s="48"/>
      <c r="GR252" s="48"/>
      <c r="GS252" s="48"/>
      <c r="GT252" s="48"/>
      <c r="GU252" s="48"/>
      <c r="GV252" s="48"/>
      <c r="GW252" s="48"/>
      <c r="GX252" s="48"/>
      <c r="GY252" s="48"/>
      <c r="GZ252" s="48"/>
      <c r="HA252" s="48"/>
      <c r="HB252" s="48"/>
      <c r="HC252" s="48"/>
      <c r="HD252" s="48"/>
      <c r="HE252" s="48"/>
      <c r="HF252" s="48"/>
      <c r="HG252" s="48"/>
      <c r="HH252" s="48"/>
      <c r="HI252" s="48"/>
      <c r="HJ252" s="48"/>
      <c r="HK252" s="48"/>
      <c r="HL252" s="48"/>
      <c r="HM252" s="48"/>
      <c r="HN252" s="48"/>
      <c r="HO252" s="48"/>
      <c r="HP252" s="48"/>
      <c r="HQ252" s="48"/>
      <c r="HR252" s="48"/>
      <c r="HS252" s="48"/>
      <c r="HT252" s="48"/>
      <c r="HU252" s="48"/>
      <c r="HV252" s="48"/>
      <c r="HW252" s="48"/>
      <c r="HX252" s="48"/>
      <c r="HY252" s="48"/>
      <c r="HZ252" s="48"/>
      <c r="IA252" s="48"/>
      <c r="IB252" s="48"/>
      <c r="IC252" s="48"/>
      <c r="ID252" s="48"/>
      <c r="IE252" s="48"/>
      <c r="IF252" s="48"/>
      <c r="IG252" s="48"/>
      <c r="IH252" s="48"/>
      <c r="II252" s="48"/>
      <c r="IJ252" s="48"/>
      <c r="IK252" s="48"/>
      <c r="IL252" s="48"/>
      <c r="IM252" s="48"/>
      <c r="IN252" s="48"/>
      <c r="IO252" s="48"/>
      <c r="IP252" s="48"/>
      <c r="IQ252" s="48"/>
      <c r="IR252" s="48"/>
      <c r="IS252" s="48"/>
      <c r="IT252" s="48"/>
    </row>
    <row r="253" spans="1:254" s="112" customFormat="1" ht="14.25" customHeight="1">
      <c r="A253" s="57" t="s">
        <v>5</v>
      </c>
      <c r="B253" s="68"/>
      <c r="C253" s="70" t="s">
        <v>217</v>
      </c>
      <c r="D253" s="17"/>
      <c r="E253" s="57" t="s">
        <v>5</v>
      </c>
      <c r="F253" s="68"/>
      <c r="G253" s="70" t="s">
        <v>218</v>
      </c>
      <c r="H253" s="47"/>
      <c r="I253" s="57" t="s">
        <v>5</v>
      </c>
      <c r="J253" s="68"/>
      <c r="K253" s="69" t="s">
        <v>219</v>
      </c>
      <c r="L253" s="47"/>
      <c r="M253" s="57" t="s">
        <v>5</v>
      </c>
      <c r="N253" s="68"/>
      <c r="O253" s="70" t="s">
        <v>220</v>
      </c>
      <c r="P253" s="47"/>
      <c r="Q253" s="57" t="s">
        <v>5</v>
      </c>
      <c r="R253" s="68"/>
      <c r="S253" s="70" t="s">
        <v>221</v>
      </c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48"/>
      <c r="ED253" s="48"/>
      <c r="EE253" s="48"/>
      <c r="EF253" s="48"/>
      <c r="EG253" s="48"/>
      <c r="EH253" s="48"/>
      <c r="EI253" s="48"/>
      <c r="EJ253" s="48"/>
      <c r="EK253" s="48"/>
      <c r="EL253" s="48"/>
      <c r="EM253" s="48"/>
      <c r="EN253" s="48"/>
      <c r="EO253" s="48"/>
      <c r="EP253" s="48"/>
      <c r="EQ253" s="48"/>
      <c r="ER253" s="48"/>
      <c r="ES253" s="48"/>
      <c r="ET253" s="48"/>
      <c r="EU253" s="48"/>
      <c r="EV253" s="48"/>
      <c r="EW253" s="48"/>
      <c r="EX253" s="48"/>
      <c r="EY253" s="48"/>
      <c r="EZ253" s="48"/>
      <c r="FA253" s="48"/>
      <c r="FB253" s="48"/>
      <c r="FC253" s="48"/>
      <c r="FD253" s="48"/>
      <c r="FE253" s="48"/>
      <c r="FF253" s="48"/>
      <c r="FG253" s="48"/>
      <c r="FH253" s="48"/>
      <c r="FI253" s="48"/>
      <c r="FJ253" s="48"/>
      <c r="FK253" s="48"/>
      <c r="FL253" s="48"/>
      <c r="FM253" s="48"/>
      <c r="FN253" s="48"/>
      <c r="FO253" s="48"/>
      <c r="FP253" s="48"/>
      <c r="FQ253" s="48"/>
      <c r="FR253" s="48"/>
      <c r="FS253" s="48"/>
      <c r="FT253" s="48"/>
      <c r="FU253" s="48"/>
      <c r="FV253" s="48"/>
      <c r="FW253" s="48"/>
      <c r="FX253" s="48"/>
      <c r="FY253" s="48"/>
      <c r="FZ253" s="48"/>
      <c r="GA253" s="48"/>
      <c r="GB253" s="48"/>
      <c r="GC253" s="48"/>
      <c r="GD253" s="48"/>
      <c r="GE253" s="48"/>
      <c r="GF253" s="48"/>
      <c r="GG253" s="48"/>
      <c r="GH253" s="48"/>
      <c r="GI253" s="48"/>
      <c r="GJ253" s="48"/>
      <c r="GK253" s="48"/>
      <c r="GL253" s="48"/>
      <c r="GM253" s="48"/>
      <c r="GN253" s="48"/>
      <c r="GO253" s="48"/>
      <c r="GP253" s="48"/>
      <c r="GQ253" s="48"/>
      <c r="GR253" s="48"/>
      <c r="GS253" s="48"/>
      <c r="GT253" s="48"/>
      <c r="GU253" s="48"/>
      <c r="GV253" s="48"/>
      <c r="GW253" s="48"/>
      <c r="GX253" s="48"/>
      <c r="GY253" s="48"/>
      <c r="GZ253" s="48"/>
      <c r="HA253" s="48"/>
      <c r="HB253" s="48"/>
      <c r="HC253" s="48"/>
      <c r="HD253" s="48"/>
      <c r="HE253" s="48"/>
      <c r="HF253" s="48"/>
      <c r="HG253" s="48"/>
      <c r="HH253" s="48"/>
      <c r="HI253" s="48"/>
      <c r="HJ253" s="48"/>
      <c r="HK253" s="48"/>
      <c r="HL253" s="48"/>
      <c r="HM253" s="48"/>
      <c r="HN253" s="48"/>
      <c r="HO253" s="48"/>
      <c r="HP253" s="48"/>
      <c r="HQ253" s="48"/>
      <c r="HR253" s="48"/>
      <c r="HS253" s="48"/>
      <c r="HT253" s="48"/>
      <c r="HU253" s="48"/>
      <c r="HV253" s="48"/>
      <c r="HW253" s="48"/>
      <c r="HX253" s="48"/>
      <c r="HY253" s="48"/>
      <c r="HZ253" s="48"/>
      <c r="IA253" s="48"/>
      <c r="IB253" s="48"/>
      <c r="IC253" s="48"/>
      <c r="ID253" s="48"/>
      <c r="IE253" s="48"/>
      <c r="IF253" s="48"/>
      <c r="IG253" s="48"/>
      <c r="IH253" s="48"/>
      <c r="II253" s="48"/>
      <c r="IJ253" s="48"/>
      <c r="IK253" s="48"/>
      <c r="IL253" s="48"/>
      <c r="IM253" s="48"/>
      <c r="IN253" s="48"/>
      <c r="IO253" s="48"/>
      <c r="IP253" s="48"/>
      <c r="IQ253" s="48"/>
      <c r="IR253" s="48"/>
      <c r="IS253" s="48"/>
      <c r="IT253" s="48"/>
    </row>
    <row r="254" spans="1:254" s="112" customFormat="1" ht="14.25" customHeight="1">
      <c r="A254" s="57" t="s">
        <v>8</v>
      </c>
      <c r="B254" s="68"/>
      <c r="C254" s="69" t="s">
        <v>222</v>
      </c>
      <c r="D254" s="17"/>
      <c r="E254" s="57" t="s">
        <v>8</v>
      </c>
      <c r="F254" s="68"/>
      <c r="G254" s="69" t="s">
        <v>223</v>
      </c>
      <c r="H254" s="47"/>
      <c r="I254" s="57" t="s">
        <v>8</v>
      </c>
      <c r="J254" s="68"/>
      <c r="K254" s="69" t="s">
        <v>224</v>
      </c>
      <c r="L254" s="47"/>
      <c r="M254" s="57" t="s">
        <v>8</v>
      </c>
      <c r="N254" s="68"/>
      <c r="O254" s="69" t="s">
        <v>225</v>
      </c>
      <c r="P254" s="47"/>
      <c r="Q254" s="57" t="s">
        <v>8</v>
      </c>
      <c r="R254" s="68"/>
      <c r="S254" s="69" t="s">
        <v>104</v>
      </c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48"/>
      <c r="ED254" s="48"/>
      <c r="EE254" s="48"/>
      <c r="EF254" s="48"/>
      <c r="EG254" s="48"/>
      <c r="EH254" s="48"/>
      <c r="EI254" s="48"/>
      <c r="EJ254" s="48"/>
      <c r="EK254" s="48"/>
      <c r="EL254" s="48"/>
      <c r="EM254" s="48"/>
      <c r="EN254" s="48"/>
      <c r="EO254" s="48"/>
      <c r="EP254" s="48"/>
      <c r="EQ254" s="48"/>
      <c r="ER254" s="48"/>
      <c r="ES254" s="48"/>
      <c r="ET254" s="48"/>
      <c r="EU254" s="48"/>
      <c r="EV254" s="48"/>
      <c r="EW254" s="48"/>
      <c r="EX254" s="48"/>
      <c r="EY254" s="48"/>
      <c r="EZ254" s="48"/>
      <c r="FA254" s="48"/>
      <c r="FB254" s="48"/>
      <c r="FC254" s="48"/>
      <c r="FD254" s="48"/>
      <c r="FE254" s="48"/>
      <c r="FF254" s="48"/>
      <c r="FG254" s="48"/>
      <c r="FH254" s="48"/>
      <c r="FI254" s="48"/>
      <c r="FJ254" s="48"/>
      <c r="FK254" s="48"/>
      <c r="FL254" s="48"/>
      <c r="FM254" s="48"/>
      <c r="FN254" s="48"/>
      <c r="FO254" s="48"/>
      <c r="FP254" s="48"/>
      <c r="FQ254" s="48"/>
      <c r="FR254" s="48"/>
      <c r="FS254" s="48"/>
      <c r="FT254" s="48"/>
      <c r="FU254" s="48"/>
      <c r="FV254" s="48"/>
      <c r="FW254" s="48"/>
      <c r="FX254" s="48"/>
      <c r="FY254" s="48"/>
      <c r="FZ254" s="48"/>
      <c r="GA254" s="48"/>
      <c r="GB254" s="48"/>
      <c r="GC254" s="48"/>
      <c r="GD254" s="48"/>
      <c r="GE254" s="48"/>
      <c r="GF254" s="48"/>
      <c r="GG254" s="48"/>
      <c r="GH254" s="48"/>
      <c r="GI254" s="48"/>
      <c r="GJ254" s="48"/>
      <c r="GK254" s="48"/>
      <c r="GL254" s="48"/>
      <c r="GM254" s="48"/>
      <c r="GN254" s="48"/>
      <c r="GO254" s="48"/>
      <c r="GP254" s="48"/>
      <c r="GQ254" s="48"/>
      <c r="GR254" s="48"/>
      <c r="GS254" s="48"/>
      <c r="GT254" s="48"/>
      <c r="GU254" s="48"/>
      <c r="GV254" s="48"/>
      <c r="GW254" s="48"/>
      <c r="GX254" s="48"/>
      <c r="GY254" s="48"/>
      <c r="GZ254" s="48"/>
      <c r="HA254" s="48"/>
      <c r="HB254" s="48"/>
      <c r="HC254" s="48"/>
      <c r="HD254" s="48"/>
      <c r="HE254" s="48"/>
      <c r="HF254" s="48"/>
      <c r="HG254" s="48"/>
      <c r="HH254" s="48"/>
      <c r="HI254" s="48"/>
      <c r="HJ254" s="48"/>
      <c r="HK254" s="48"/>
      <c r="HL254" s="48"/>
      <c r="HM254" s="48"/>
      <c r="HN254" s="48"/>
      <c r="HO254" s="48"/>
      <c r="HP254" s="48"/>
      <c r="HQ254" s="48"/>
      <c r="HR254" s="48"/>
      <c r="HS254" s="48"/>
      <c r="HT254" s="48"/>
      <c r="HU254" s="48"/>
      <c r="HV254" s="48"/>
      <c r="HW254" s="48"/>
      <c r="HX254" s="48"/>
      <c r="HY254" s="48"/>
      <c r="HZ254" s="48"/>
      <c r="IA254" s="48"/>
      <c r="IB254" s="48"/>
      <c r="IC254" s="48"/>
      <c r="ID254" s="48"/>
      <c r="IE254" s="48"/>
      <c r="IF254" s="48"/>
      <c r="IG254" s="48"/>
      <c r="IH254" s="48"/>
      <c r="II254" s="48"/>
      <c r="IJ254" s="48"/>
      <c r="IK254" s="48"/>
      <c r="IL254" s="48"/>
      <c r="IM254" s="48"/>
      <c r="IN254" s="48"/>
      <c r="IO254" s="48"/>
      <c r="IP254" s="48"/>
      <c r="IQ254" s="48"/>
      <c r="IR254" s="48"/>
      <c r="IS254" s="48"/>
      <c r="IT254" s="48"/>
    </row>
    <row r="255" spans="1:254" s="112" customFormat="1" ht="14.25" customHeight="1">
      <c r="A255" s="57" t="s">
        <v>14</v>
      </c>
      <c r="B255" s="68"/>
      <c r="C255" s="67"/>
      <c r="D255" s="17"/>
      <c r="E255" s="57" t="s">
        <v>14</v>
      </c>
      <c r="F255" s="68"/>
      <c r="G255" s="68"/>
      <c r="H255" s="47"/>
      <c r="I255" s="57" t="s">
        <v>14</v>
      </c>
      <c r="J255" s="68"/>
      <c r="K255" s="68"/>
      <c r="L255" s="47"/>
      <c r="M255" s="57" t="s">
        <v>14</v>
      </c>
      <c r="N255" s="68"/>
      <c r="O255" s="68"/>
      <c r="P255" s="47"/>
      <c r="Q255" s="57" t="s">
        <v>14</v>
      </c>
      <c r="R255" s="68"/>
      <c r="S255" s="67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48"/>
      <c r="ED255" s="48"/>
      <c r="EE255" s="48"/>
      <c r="EF255" s="48"/>
      <c r="EG255" s="48"/>
      <c r="EH255" s="48"/>
      <c r="EI255" s="48"/>
      <c r="EJ255" s="48"/>
      <c r="EK255" s="48"/>
      <c r="EL255" s="48"/>
      <c r="EM255" s="48"/>
      <c r="EN255" s="48"/>
      <c r="EO255" s="48"/>
      <c r="EP255" s="48"/>
      <c r="EQ255" s="48"/>
      <c r="ER255" s="48"/>
      <c r="ES255" s="48"/>
      <c r="ET255" s="48"/>
      <c r="EU255" s="48"/>
      <c r="EV255" s="48"/>
      <c r="EW255" s="48"/>
      <c r="EX255" s="48"/>
      <c r="EY255" s="48"/>
      <c r="EZ255" s="48"/>
      <c r="FA255" s="48"/>
      <c r="FB255" s="48"/>
      <c r="FC255" s="48"/>
      <c r="FD255" s="48"/>
      <c r="FE255" s="48"/>
      <c r="FF255" s="48"/>
      <c r="FG255" s="48"/>
      <c r="FH255" s="48"/>
      <c r="FI255" s="48"/>
      <c r="FJ255" s="48"/>
      <c r="FK255" s="48"/>
      <c r="FL255" s="48"/>
      <c r="FM255" s="48"/>
      <c r="FN255" s="48"/>
      <c r="FO255" s="48"/>
      <c r="FP255" s="48"/>
      <c r="FQ255" s="48"/>
      <c r="FR255" s="48"/>
      <c r="FS255" s="48"/>
      <c r="FT255" s="48"/>
      <c r="FU255" s="48"/>
      <c r="FV255" s="48"/>
      <c r="FW255" s="48"/>
      <c r="FX255" s="48"/>
      <c r="FY255" s="48"/>
      <c r="FZ255" s="48"/>
      <c r="GA255" s="48"/>
      <c r="GB255" s="48"/>
      <c r="GC255" s="48"/>
      <c r="GD255" s="48"/>
      <c r="GE255" s="48"/>
      <c r="GF255" s="48"/>
      <c r="GG255" s="48"/>
      <c r="GH255" s="48"/>
      <c r="GI255" s="48"/>
      <c r="GJ255" s="48"/>
      <c r="GK255" s="48"/>
      <c r="GL255" s="48"/>
      <c r="GM255" s="48"/>
      <c r="GN255" s="48"/>
      <c r="GO255" s="48"/>
      <c r="GP255" s="48"/>
      <c r="GQ255" s="48"/>
      <c r="GR255" s="48"/>
      <c r="GS255" s="48"/>
      <c r="GT255" s="48"/>
      <c r="GU255" s="48"/>
      <c r="GV255" s="48"/>
      <c r="GW255" s="48"/>
      <c r="GX255" s="48"/>
      <c r="GY255" s="48"/>
      <c r="GZ255" s="48"/>
      <c r="HA255" s="48"/>
      <c r="HB255" s="48"/>
      <c r="HC255" s="48"/>
      <c r="HD255" s="48"/>
      <c r="HE255" s="48"/>
      <c r="HF255" s="48"/>
      <c r="HG255" s="48"/>
      <c r="HH255" s="48"/>
      <c r="HI255" s="48"/>
      <c r="HJ255" s="48"/>
      <c r="HK255" s="48"/>
      <c r="HL255" s="48"/>
      <c r="HM255" s="48"/>
      <c r="HN255" s="48"/>
      <c r="HO255" s="48"/>
      <c r="HP255" s="48"/>
      <c r="HQ255" s="48"/>
      <c r="HR255" s="48"/>
      <c r="HS255" s="48"/>
      <c r="HT255" s="48"/>
      <c r="HU255" s="48"/>
      <c r="HV255" s="48"/>
      <c r="HW255" s="48"/>
      <c r="HX255" s="48"/>
      <c r="HY255" s="48"/>
      <c r="HZ255" s="48"/>
      <c r="IA255" s="48"/>
      <c r="IB255" s="48"/>
      <c r="IC255" s="48"/>
      <c r="ID255" s="48"/>
      <c r="IE255" s="48"/>
      <c r="IF255" s="48"/>
      <c r="IG255" s="48"/>
      <c r="IH255" s="48"/>
      <c r="II255" s="48"/>
      <c r="IJ255" s="48"/>
      <c r="IK255" s="48"/>
      <c r="IL255" s="48"/>
      <c r="IM255" s="48"/>
      <c r="IN255" s="48"/>
      <c r="IO255" s="48"/>
      <c r="IP255" s="48"/>
      <c r="IQ255" s="48"/>
      <c r="IR255" s="48"/>
      <c r="IS255" s="48"/>
      <c r="IT255" s="48"/>
    </row>
    <row r="256" spans="1:254" s="112" customFormat="1" ht="14.25" customHeight="1">
      <c r="A256" s="92" t="s">
        <v>23</v>
      </c>
      <c r="B256" s="92">
        <v>65</v>
      </c>
      <c r="C256" s="92">
        <f>B256/85.6*$C$261</f>
        <v>759.3457943925233</v>
      </c>
      <c r="D256" s="17"/>
      <c r="E256" s="92" t="s">
        <v>22</v>
      </c>
      <c r="F256" s="92">
        <v>48.5</v>
      </c>
      <c r="G256" s="92">
        <f>F256/87.15*$G$261</f>
        <v>556.5117613310384</v>
      </c>
      <c r="H256" s="47"/>
      <c r="I256" s="92" t="s">
        <v>20</v>
      </c>
      <c r="J256" s="92">
        <v>7.4</v>
      </c>
      <c r="K256" s="92">
        <f aca="true" t="shared" si="66" ref="K256:K262">J256/86.3*$K$263</f>
        <v>85.747392815759</v>
      </c>
      <c r="L256" s="47"/>
      <c r="M256" s="92" t="s">
        <v>20</v>
      </c>
      <c r="N256" s="92">
        <v>42.2</v>
      </c>
      <c r="O256" s="92">
        <f aca="true" t="shared" si="67" ref="O256:O262">N256/86.9*$O$263</f>
        <v>485.6156501726122</v>
      </c>
      <c r="P256" s="47"/>
      <c r="Q256" s="92" t="s">
        <v>26</v>
      </c>
      <c r="R256" s="92">
        <v>13.56</v>
      </c>
      <c r="S256" s="92">
        <f aca="true" t="shared" si="68" ref="S256:S262">R256/88.1*$S$263</f>
        <v>153.91600454029515</v>
      </c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  <c r="EN256" s="48"/>
      <c r="EO256" s="48"/>
      <c r="EP256" s="48"/>
      <c r="EQ256" s="48"/>
      <c r="ER256" s="48"/>
      <c r="ES256" s="48"/>
      <c r="ET256" s="48"/>
      <c r="EU256" s="48"/>
      <c r="EV256" s="48"/>
      <c r="EW256" s="48"/>
      <c r="EX256" s="48"/>
      <c r="EY256" s="48"/>
      <c r="EZ256" s="48"/>
      <c r="FA256" s="48"/>
      <c r="FB256" s="48"/>
      <c r="FC256" s="48"/>
      <c r="FD256" s="48"/>
      <c r="FE256" s="48"/>
      <c r="FF256" s="48"/>
      <c r="FG256" s="48"/>
      <c r="FH256" s="48"/>
      <c r="FI256" s="48"/>
      <c r="FJ256" s="48"/>
      <c r="FK256" s="48"/>
      <c r="FL256" s="48"/>
      <c r="FM256" s="48"/>
      <c r="FN256" s="48"/>
      <c r="FO256" s="48"/>
      <c r="FP256" s="48"/>
      <c r="FQ256" s="48"/>
      <c r="FR256" s="48"/>
      <c r="FS256" s="48"/>
      <c r="FT256" s="48"/>
      <c r="FU256" s="48"/>
      <c r="FV256" s="48"/>
      <c r="FW256" s="48"/>
      <c r="FX256" s="48"/>
      <c r="FY256" s="48"/>
      <c r="FZ256" s="48"/>
      <c r="GA256" s="48"/>
      <c r="GB256" s="48"/>
      <c r="GC256" s="48"/>
      <c r="GD256" s="48"/>
      <c r="GE256" s="48"/>
      <c r="GF256" s="48"/>
      <c r="GG256" s="48"/>
      <c r="GH256" s="48"/>
      <c r="GI256" s="48"/>
      <c r="GJ256" s="48"/>
      <c r="GK256" s="48"/>
      <c r="GL256" s="48"/>
      <c r="GM256" s="48"/>
      <c r="GN256" s="48"/>
      <c r="GO256" s="48"/>
      <c r="GP256" s="48"/>
      <c r="GQ256" s="48"/>
      <c r="GR256" s="48"/>
      <c r="GS256" s="48"/>
      <c r="GT256" s="48"/>
      <c r="GU256" s="48"/>
      <c r="GV256" s="48"/>
      <c r="GW256" s="48"/>
      <c r="GX256" s="48"/>
      <c r="GY256" s="48"/>
      <c r="GZ256" s="48"/>
      <c r="HA256" s="48"/>
      <c r="HB256" s="48"/>
      <c r="HC256" s="48"/>
      <c r="HD256" s="48"/>
      <c r="HE256" s="48"/>
      <c r="HF256" s="48"/>
      <c r="HG256" s="48"/>
      <c r="HH256" s="48"/>
      <c r="HI256" s="48"/>
      <c r="HJ256" s="48"/>
      <c r="HK256" s="48"/>
      <c r="HL256" s="48"/>
      <c r="HM256" s="48"/>
      <c r="HN256" s="48"/>
      <c r="HO256" s="48"/>
      <c r="HP256" s="48"/>
      <c r="HQ256" s="48"/>
      <c r="HR256" s="48"/>
      <c r="HS256" s="48"/>
      <c r="HT256" s="48"/>
      <c r="HU256" s="48"/>
      <c r="HV256" s="48"/>
      <c r="HW256" s="48"/>
      <c r="HX256" s="48"/>
      <c r="HY256" s="48"/>
      <c r="HZ256" s="48"/>
      <c r="IA256" s="48"/>
      <c r="IB256" s="48"/>
      <c r="IC256" s="48"/>
      <c r="ID256" s="48"/>
      <c r="IE256" s="48"/>
      <c r="IF256" s="48"/>
      <c r="IG256" s="48"/>
      <c r="IH256" s="48"/>
      <c r="II256" s="48"/>
      <c r="IJ256" s="48"/>
      <c r="IK256" s="48"/>
      <c r="IL256" s="48"/>
      <c r="IM256" s="48"/>
      <c r="IN256" s="48"/>
      <c r="IO256" s="48"/>
      <c r="IP256" s="48"/>
      <c r="IQ256" s="48"/>
      <c r="IR256" s="48"/>
      <c r="IS256" s="48"/>
      <c r="IT256" s="48"/>
    </row>
    <row r="257" spans="1:254" s="112" customFormat="1" ht="14.25" customHeight="1">
      <c r="A257" s="92" t="s">
        <v>46</v>
      </c>
      <c r="B257" s="92">
        <v>16.4</v>
      </c>
      <c r="C257" s="92">
        <f>B257/85.6*$C$261</f>
        <v>191.58878504672896</v>
      </c>
      <c r="D257" s="17"/>
      <c r="E257" s="92" t="s">
        <v>99</v>
      </c>
      <c r="F257" s="92">
        <v>35</v>
      </c>
      <c r="G257" s="92">
        <f>F257/87.15*$G$261</f>
        <v>401.60642570281124</v>
      </c>
      <c r="H257" s="47"/>
      <c r="I257" s="92" t="s">
        <v>22</v>
      </c>
      <c r="J257" s="92">
        <v>66.7</v>
      </c>
      <c r="K257" s="92">
        <f t="shared" si="66"/>
        <v>772.8852838933951</v>
      </c>
      <c r="L257" s="47"/>
      <c r="M257" s="92" t="s">
        <v>23</v>
      </c>
      <c r="N257" s="92">
        <v>29</v>
      </c>
      <c r="O257" s="92">
        <f t="shared" si="67"/>
        <v>333.716915995397</v>
      </c>
      <c r="P257" s="47"/>
      <c r="Q257" s="92" t="s">
        <v>44</v>
      </c>
      <c r="R257" s="92">
        <v>7.37</v>
      </c>
      <c r="S257" s="92">
        <f t="shared" si="68"/>
        <v>83.65493757094211</v>
      </c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  <c r="EB257" s="48"/>
      <c r="EC257" s="48"/>
      <c r="ED257" s="48"/>
      <c r="EE257" s="48"/>
      <c r="EF257" s="48"/>
      <c r="EG257" s="48"/>
      <c r="EH257" s="48"/>
      <c r="EI257" s="48"/>
      <c r="EJ257" s="48"/>
      <c r="EK257" s="48"/>
      <c r="EL257" s="48"/>
      <c r="EM257" s="48"/>
      <c r="EN257" s="48"/>
      <c r="EO257" s="48"/>
      <c r="EP257" s="48"/>
      <c r="EQ257" s="48"/>
      <c r="ER257" s="48"/>
      <c r="ES257" s="48"/>
      <c r="ET257" s="48"/>
      <c r="EU257" s="48"/>
      <c r="EV257" s="48"/>
      <c r="EW257" s="48"/>
      <c r="EX257" s="48"/>
      <c r="EY257" s="48"/>
      <c r="EZ257" s="48"/>
      <c r="FA257" s="48"/>
      <c r="FB257" s="48"/>
      <c r="FC257" s="48"/>
      <c r="FD257" s="48"/>
      <c r="FE257" s="48"/>
      <c r="FF257" s="48"/>
      <c r="FG257" s="48"/>
      <c r="FH257" s="48"/>
      <c r="FI257" s="48"/>
      <c r="FJ257" s="48"/>
      <c r="FK257" s="48"/>
      <c r="FL257" s="48"/>
      <c r="FM257" s="48"/>
      <c r="FN257" s="48"/>
      <c r="FO257" s="48"/>
      <c r="FP257" s="48"/>
      <c r="FQ257" s="48"/>
      <c r="FR257" s="48"/>
      <c r="FS257" s="48"/>
      <c r="FT257" s="48"/>
      <c r="FU257" s="48"/>
      <c r="FV257" s="48"/>
      <c r="FW257" s="48"/>
      <c r="FX257" s="48"/>
      <c r="FY257" s="48"/>
      <c r="FZ257" s="48"/>
      <c r="GA257" s="48"/>
      <c r="GB257" s="48"/>
      <c r="GC257" s="48"/>
      <c r="GD257" s="48"/>
      <c r="GE257" s="48"/>
      <c r="GF257" s="48"/>
      <c r="GG257" s="48"/>
      <c r="GH257" s="48"/>
      <c r="GI257" s="48"/>
      <c r="GJ257" s="48"/>
      <c r="GK257" s="48"/>
      <c r="GL257" s="48"/>
      <c r="GM257" s="48"/>
      <c r="GN257" s="48"/>
      <c r="GO257" s="48"/>
      <c r="GP257" s="48"/>
      <c r="GQ257" s="48"/>
      <c r="GR257" s="48"/>
      <c r="GS257" s="48"/>
      <c r="GT257" s="48"/>
      <c r="GU257" s="48"/>
      <c r="GV257" s="48"/>
      <c r="GW257" s="48"/>
      <c r="GX257" s="48"/>
      <c r="GY257" s="48"/>
      <c r="GZ257" s="48"/>
      <c r="HA257" s="48"/>
      <c r="HB257" s="48"/>
      <c r="HC257" s="48"/>
      <c r="HD257" s="48"/>
      <c r="HE257" s="48"/>
      <c r="HF257" s="48"/>
      <c r="HG257" s="48"/>
      <c r="HH257" s="48"/>
      <c r="HI257" s="48"/>
      <c r="HJ257" s="48"/>
      <c r="HK257" s="48"/>
      <c r="HL257" s="48"/>
      <c r="HM257" s="48"/>
      <c r="HN257" s="48"/>
      <c r="HO257" s="48"/>
      <c r="HP257" s="48"/>
      <c r="HQ257" s="48"/>
      <c r="HR257" s="48"/>
      <c r="HS257" s="48"/>
      <c r="HT257" s="48"/>
      <c r="HU257" s="48"/>
      <c r="HV257" s="48"/>
      <c r="HW257" s="48"/>
      <c r="HX257" s="48"/>
      <c r="HY257" s="48"/>
      <c r="HZ257" s="48"/>
      <c r="IA257" s="48"/>
      <c r="IB257" s="48"/>
      <c r="IC257" s="48"/>
      <c r="ID257" s="48"/>
      <c r="IE257" s="48"/>
      <c r="IF257" s="48"/>
      <c r="IG257" s="48"/>
      <c r="IH257" s="48"/>
      <c r="II257" s="48"/>
      <c r="IJ257" s="48"/>
      <c r="IK257" s="48"/>
      <c r="IL257" s="48"/>
      <c r="IM257" s="48"/>
      <c r="IN257" s="48"/>
      <c r="IO257" s="48"/>
      <c r="IP257" s="48"/>
      <c r="IQ257" s="48"/>
      <c r="IR257" s="48"/>
      <c r="IS257" s="48"/>
      <c r="IT257" s="48"/>
    </row>
    <row r="258" spans="1:254" s="112" customFormat="1" ht="14.25" customHeight="1">
      <c r="A258" s="92" t="s">
        <v>142</v>
      </c>
      <c r="B258" s="92">
        <v>1</v>
      </c>
      <c r="C258" s="92">
        <f>B258/85.6*$C$261</f>
        <v>11.682242990654206</v>
      </c>
      <c r="D258" s="17"/>
      <c r="E258" s="92" t="s">
        <v>24</v>
      </c>
      <c r="F258" s="92">
        <v>0.4</v>
      </c>
      <c r="G258" s="92">
        <f>F258/87.15*$G$261</f>
        <v>4.589787722317842</v>
      </c>
      <c r="H258" s="47"/>
      <c r="I258" s="92" t="s">
        <v>23</v>
      </c>
      <c r="J258" s="92">
        <v>1.9</v>
      </c>
      <c r="K258" s="92">
        <f t="shared" si="66"/>
        <v>22.0162224797219</v>
      </c>
      <c r="L258" s="47"/>
      <c r="M258" s="92" t="s">
        <v>67</v>
      </c>
      <c r="N258" s="92">
        <v>3.5</v>
      </c>
      <c r="O258" s="92">
        <f t="shared" si="67"/>
        <v>40.27617951668584</v>
      </c>
      <c r="P258" s="47"/>
      <c r="Q258" s="92" t="s">
        <v>46</v>
      </c>
      <c r="R258" s="92">
        <v>27.43</v>
      </c>
      <c r="S258" s="92">
        <f t="shared" si="68"/>
        <v>311.3507377979569</v>
      </c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  <c r="EB258" s="48"/>
      <c r="EC258" s="48"/>
      <c r="ED258" s="48"/>
      <c r="EE258" s="48"/>
      <c r="EF258" s="48"/>
      <c r="EG258" s="48"/>
      <c r="EH258" s="48"/>
      <c r="EI258" s="48"/>
      <c r="EJ258" s="48"/>
      <c r="EK258" s="48"/>
      <c r="EL258" s="48"/>
      <c r="EM258" s="48"/>
      <c r="EN258" s="48"/>
      <c r="EO258" s="48"/>
      <c r="EP258" s="48"/>
      <c r="EQ258" s="48"/>
      <c r="ER258" s="48"/>
      <c r="ES258" s="48"/>
      <c r="ET258" s="48"/>
      <c r="EU258" s="48"/>
      <c r="EV258" s="48"/>
      <c r="EW258" s="48"/>
      <c r="EX258" s="48"/>
      <c r="EY258" s="48"/>
      <c r="EZ258" s="48"/>
      <c r="FA258" s="48"/>
      <c r="FB258" s="48"/>
      <c r="FC258" s="48"/>
      <c r="FD258" s="48"/>
      <c r="FE258" s="48"/>
      <c r="FF258" s="48"/>
      <c r="FG258" s="48"/>
      <c r="FH258" s="48"/>
      <c r="FI258" s="48"/>
      <c r="FJ258" s="48"/>
      <c r="FK258" s="48"/>
      <c r="FL258" s="48"/>
      <c r="FM258" s="48"/>
      <c r="FN258" s="48"/>
      <c r="FO258" s="48"/>
      <c r="FP258" s="48"/>
      <c r="FQ258" s="48"/>
      <c r="FR258" s="48"/>
      <c r="FS258" s="48"/>
      <c r="FT258" s="48"/>
      <c r="FU258" s="48"/>
      <c r="FV258" s="48"/>
      <c r="FW258" s="48"/>
      <c r="FX258" s="48"/>
      <c r="FY258" s="48"/>
      <c r="FZ258" s="48"/>
      <c r="GA258" s="48"/>
      <c r="GB258" s="48"/>
      <c r="GC258" s="48"/>
      <c r="GD258" s="48"/>
      <c r="GE258" s="48"/>
      <c r="GF258" s="48"/>
      <c r="GG258" s="48"/>
      <c r="GH258" s="48"/>
      <c r="GI258" s="48"/>
      <c r="GJ258" s="48"/>
      <c r="GK258" s="48"/>
      <c r="GL258" s="48"/>
      <c r="GM258" s="48"/>
      <c r="GN258" s="48"/>
      <c r="GO258" s="48"/>
      <c r="GP258" s="48"/>
      <c r="GQ258" s="48"/>
      <c r="GR258" s="48"/>
      <c r="GS258" s="48"/>
      <c r="GT258" s="48"/>
      <c r="GU258" s="48"/>
      <c r="GV258" s="48"/>
      <c r="GW258" s="48"/>
      <c r="GX258" s="48"/>
      <c r="GY258" s="48"/>
      <c r="GZ258" s="48"/>
      <c r="HA258" s="48"/>
      <c r="HB258" s="48"/>
      <c r="HC258" s="48"/>
      <c r="HD258" s="48"/>
      <c r="HE258" s="48"/>
      <c r="HF258" s="48"/>
      <c r="HG258" s="48"/>
      <c r="HH258" s="48"/>
      <c r="HI258" s="48"/>
      <c r="HJ258" s="48"/>
      <c r="HK258" s="48"/>
      <c r="HL258" s="48"/>
      <c r="HM258" s="48"/>
      <c r="HN258" s="48"/>
      <c r="HO258" s="48"/>
      <c r="HP258" s="48"/>
      <c r="HQ258" s="48"/>
      <c r="HR258" s="48"/>
      <c r="HS258" s="48"/>
      <c r="HT258" s="48"/>
      <c r="HU258" s="48"/>
      <c r="HV258" s="48"/>
      <c r="HW258" s="48"/>
      <c r="HX258" s="48"/>
      <c r="HY258" s="48"/>
      <c r="HZ258" s="48"/>
      <c r="IA258" s="48"/>
      <c r="IB258" s="48"/>
      <c r="IC258" s="48"/>
      <c r="ID258" s="48"/>
      <c r="IE258" s="48"/>
      <c r="IF258" s="48"/>
      <c r="IG258" s="48"/>
      <c r="IH258" s="48"/>
      <c r="II258" s="48"/>
      <c r="IJ258" s="48"/>
      <c r="IK258" s="48"/>
      <c r="IL258" s="48"/>
      <c r="IM258" s="48"/>
      <c r="IN258" s="48"/>
      <c r="IO258" s="48"/>
      <c r="IP258" s="48"/>
      <c r="IQ258" s="48"/>
      <c r="IR258" s="48"/>
      <c r="IS258" s="48"/>
      <c r="IT258" s="48"/>
    </row>
    <row r="259" spans="1:254" s="112" customFormat="1" ht="14.25" customHeight="1">
      <c r="A259" s="92" t="s">
        <v>51</v>
      </c>
      <c r="B259" s="92">
        <v>0.2</v>
      </c>
      <c r="C259" s="92">
        <f>B259/85.6*$C$261</f>
        <v>2.3364485981308416</v>
      </c>
      <c r="D259" s="17"/>
      <c r="E259" s="92" t="s">
        <v>51</v>
      </c>
      <c r="F259" s="92">
        <v>0.45</v>
      </c>
      <c r="G259" s="92">
        <f>F259/87.15*$G$261</f>
        <v>5.163511187607573</v>
      </c>
      <c r="H259" s="47"/>
      <c r="I259" s="92" t="s">
        <v>26</v>
      </c>
      <c r="J259" s="92">
        <v>1.7</v>
      </c>
      <c r="K259" s="92">
        <f t="shared" si="66"/>
        <v>19.698725376593277</v>
      </c>
      <c r="L259" s="47"/>
      <c r="M259" s="92" t="s">
        <v>44</v>
      </c>
      <c r="N259" s="92">
        <v>5.2</v>
      </c>
      <c r="O259" s="92">
        <f t="shared" si="67"/>
        <v>59.838895281933254</v>
      </c>
      <c r="P259" s="47"/>
      <c r="Q259" s="92" t="s">
        <v>50</v>
      </c>
      <c r="R259" s="92">
        <v>6.57</v>
      </c>
      <c r="S259" s="92">
        <f t="shared" si="68"/>
        <v>74.57434733257664</v>
      </c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  <c r="EB259" s="48"/>
      <c r="EC259" s="48"/>
      <c r="ED259" s="48"/>
      <c r="EE259" s="48"/>
      <c r="EF259" s="48"/>
      <c r="EG259" s="48"/>
      <c r="EH259" s="48"/>
      <c r="EI259" s="48"/>
      <c r="EJ259" s="48"/>
      <c r="EK259" s="48"/>
      <c r="EL259" s="48"/>
      <c r="EM259" s="48"/>
      <c r="EN259" s="48"/>
      <c r="EO259" s="48"/>
      <c r="EP259" s="48"/>
      <c r="EQ259" s="48"/>
      <c r="ER259" s="48"/>
      <c r="ES259" s="48"/>
      <c r="ET259" s="48"/>
      <c r="EU259" s="48"/>
      <c r="EV259" s="48"/>
      <c r="EW259" s="48"/>
      <c r="EX259" s="48"/>
      <c r="EY259" s="48"/>
      <c r="EZ259" s="48"/>
      <c r="FA259" s="48"/>
      <c r="FB259" s="48"/>
      <c r="FC259" s="48"/>
      <c r="FD259" s="48"/>
      <c r="FE259" s="48"/>
      <c r="FF259" s="48"/>
      <c r="FG259" s="48"/>
      <c r="FH259" s="48"/>
      <c r="FI259" s="48"/>
      <c r="FJ259" s="48"/>
      <c r="FK259" s="48"/>
      <c r="FL259" s="48"/>
      <c r="FM259" s="48"/>
      <c r="FN259" s="48"/>
      <c r="FO259" s="48"/>
      <c r="FP259" s="48"/>
      <c r="FQ259" s="48"/>
      <c r="FR259" s="48"/>
      <c r="FS259" s="48"/>
      <c r="FT259" s="48"/>
      <c r="FU259" s="48"/>
      <c r="FV259" s="48"/>
      <c r="FW259" s="48"/>
      <c r="FX259" s="48"/>
      <c r="FY259" s="48"/>
      <c r="FZ259" s="48"/>
      <c r="GA259" s="48"/>
      <c r="GB259" s="48"/>
      <c r="GC259" s="48"/>
      <c r="GD259" s="48"/>
      <c r="GE259" s="48"/>
      <c r="GF259" s="48"/>
      <c r="GG259" s="48"/>
      <c r="GH259" s="48"/>
      <c r="GI259" s="48"/>
      <c r="GJ259" s="48"/>
      <c r="GK259" s="48"/>
      <c r="GL259" s="48"/>
      <c r="GM259" s="48"/>
      <c r="GN259" s="48"/>
      <c r="GO259" s="48"/>
      <c r="GP259" s="48"/>
      <c r="GQ259" s="48"/>
      <c r="GR259" s="48"/>
      <c r="GS259" s="48"/>
      <c r="GT259" s="48"/>
      <c r="GU259" s="48"/>
      <c r="GV259" s="48"/>
      <c r="GW259" s="48"/>
      <c r="GX259" s="48"/>
      <c r="GY259" s="48"/>
      <c r="GZ259" s="48"/>
      <c r="HA259" s="48"/>
      <c r="HB259" s="48"/>
      <c r="HC259" s="48"/>
      <c r="HD259" s="48"/>
      <c r="HE259" s="48"/>
      <c r="HF259" s="48"/>
      <c r="HG259" s="48"/>
      <c r="HH259" s="48"/>
      <c r="HI259" s="48"/>
      <c r="HJ259" s="48"/>
      <c r="HK259" s="48"/>
      <c r="HL259" s="48"/>
      <c r="HM259" s="48"/>
      <c r="HN259" s="48"/>
      <c r="HO259" s="48"/>
      <c r="HP259" s="48"/>
      <c r="HQ259" s="48"/>
      <c r="HR259" s="48"/>
      <c r="HS259" s="48"/>
      <c r="HT259" s="48"/>
      <c r="HU259" s="48"/>
      <c r="HV259" s="48"/>
      <c r="HW259" s="48"/>
      <c r="HX259" s="48"/>
      <c r="HY259" s="48"/>
      <c r="HZ259" s="48"/>
      <c r="IA259" s="48"/>
      <c r="IB259" s="48"/>
      <c r="IC259" s="48"/>
      <c r="ID259" s="48"/>
      <c r="IE259" s="48"/>
      <c r="IF259" s="48"/>
      <c r="IG259" s="48"/>
      <c r="IH259" s="48"/>
      <c r="II259" s="48"/>
      <c r="IJ259" s="48"/>
      <c r="IK259" s="48"/>
      <c r="IL259" s="48"/>
      <c r="IM259" s="48"/>
      <c r="IN259" s="48"/>
      <c r="IO259" s="48"/>
      <c r="IP259" s="48"/>
      <c r="IQ259" s="48"/>
      <c r="IR259" s="48"/>
      <c r="IS259" s="48"/>
      <c r="IT259" s="48"/>
    </row>
    <row r="260" spans="1:254" s="112" customFormat="1" ht="14.25" customHeight="1">
      <c r="A260" s="92" t="s">
        <v>28</v>
      </c>
      <c r="B260" s="92">
        <v>3</v>
      </c>
      <c r="C260" s="92">
        <f>B260/85.6*$C$261</f>
        <v>35.04672897196262</v>
      </c>
      <c r="D260" s="17"/>
      <c r="E260" s="92" t="s">
        <v>28</v>
      </c>
      <c r="F260" s="92">
        <v>2.8</v>
      </c>
      <c r="G260" s="92">
        <f>F260/87.15*$G$261</f>
        <v>32.128514056224894</v>
      </c>
      <c r="H260" s="47"/>
      <c r="I260" s="92" t="s">
        <v>27</v>
      </c>
      <c r="J260" s="92">
        <v>1.2</v>
      </c>
      <c r="K260" s="92">
        <f t="shared" si="66"/>
        <v>13.904982618771726</v>
      </c>
      <c r="L260" s="47"/>
      <c r="M260" s="92" t="s">
        <v>27</v>
      </c>
      <c r="N260" s="92">
        <v>2.7</v>
      </c>
      <c r="O260" s="92">
        <f t="shared" si="67"/>
        <v>31.070195627157656</v>
      </c>
      <c r="P260" s="47"/>
      <c r="Q260" s="92" t="s">
        <v>31</v>
      </c>
      <c r="R260" s="92">
        <v>20.4</v>
      </c>
      <c r="S260" s="92">
        <f t="shared" si="68"/>
        <v>231.55505107832008</v>
      </c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  <c r="EN260" s="48"/>
      <c r="EO260" s="48"/>
      <c r="EP260" s="48"/>
      <c r="EQ260" s="48"/>
      <c r="ER260" s="48"/>
      <c r="ES260" s="48"/>
      <c r="ET260" s="48"/>
      <c r="EU260" s="48"/>
      <c r="EV260" s="48"/>
      <c r="EW260" s="48"/>
      <c r="EX260" s="48"/>
      <c r="EY260" s="48"/>
      <c r="EZ260" s="48"/>
      <c r="FA260" s="48"/>
      <c r="FB260" s="48"/>
      <c r="FC260" s="48"/>
      <c r="FD260" s="48"/>
      <c r="FE260" s="48"/>
      <c r="FF260" s="48"/>
      <c r="FG260" s="48"/>
      <c r="FH260" s="48"/>
      <c r="FI260" s="48"/>
      <c r="FJ260" s="48"/>
      <c r="FK260" s="48"/>
      <c r="FL260" s="48"/>
      <c r="FM260" s="48"/>
      <c r="FN260" s="48"/>
      <c r="FO260" s="48"/>
      <c r="FP260" s="48"/>
      <c r="FQ260" s="48"/>
      <c r="FR260" s="48"/>
      <c r="FS260" s="48"/>
      <c r="FT260" s="48"/>
      <c r="FU260" s="48"/>
      <c r="FV260" s="48"/>
      <c r="FW260" s="48"/>
      <c r="FX260" s="48"/>
      <c r="FY260" s="48"/>
      <c r="FZ260" s="48"/>
      <c r="GA260" s="48"/>
      <c r="GB260" s="48"/>
      <c r="GC260" s="48"/>
      <c r="GD260" s="48"/>
      <c r="GE260" s="48"/>
      <c r="GF260" s="48"/>
      <c r="GG260" s="48"/>
      <c r="GH260" s="48"/>
      <c r="GI260" s="48"/>
      <c r="GJ260" s="48"/>
      <c r="GK260" s="48"/>
      <c r="GL260" s="48"/>
      <c r="GM260" s="48"/>
      <c r="GN260" s="48"/>
      <c r="GO260" s="48"/>
      <c r="GP260" s="48"/>
      <c r="GQ260" s="48"/>
      <c r="GR260" s="48"/>
      <c r="GS260" s="48"/>
      <c r="GT260" s="48"/>
      <c r="GU260" s="48"/>
      <c r="GV260" s="48"/>
      <c r="GW260" s="48"/>
      <c r="GX260" s="48"/>
      <c r="GY260" s="48"/>
      <c r="GZ260" s="48"/>
      <c r="HA260" s="48"/>
      <c r="HB260" s="48"/>
      <c r="HC260" s="48"/>
      <c r="HD260" s="48"/>
      <c r="HE260" s="48"/>
      <c r="HF260" s="48"/>
      <c r="HG260" s="48"/>
      <c r="HH260" s="48"/>
      <c r="HI260" s="48"/>
      <c r="HJ260" s="48"/>
      <c r="HK260" s="48"/>
      <c r="HL260" s="48"/>
      <c r="HM260" s="48"/>
      <c r="HN260" s="48"/>
      <c r="HO260" s="48"/>
      <c r="HP260" s="48"/>
      <c r="HQ260" s="48"/>
      <c r="HR260" s="48"/>
      <c r="HS260" s="48"/>
      <c r="HT260" s="48"/>
      <c r="HU260" s="48"/>
      <c r="HV260" s="48"/>
      <c r="HW260" s="48"/>
      <c r="HX260" s="48"/>
      <c r="HY260" s="48"/>
      <c r="HZ260" s="48"/>
      <c r="IA260" s="48"/>
      <c r="IB260" s="48"/>
      <c r="IC260" s="48"/>
      <c r="ID260" s="48"/>
      <c r="IE260" s="48"/>
      <c r="IF260" s="48"/>
      <c r="IG260" s="48"/>
      <c r="IH260" s="48"/>
      <c r="II260" s="48"/>
      <c r="IJ260" s="48"/>
      <c r="IK260" s="48"/>
      <c r="IL260" s="48"/>
      <c r="IM260" s="48"/>
      <c r="IN260" s="48"/>
      <c r="IO260" s="48"/>
      <c r="IP260" s="48"/>
      <c r="IQ260" s="48"/>
      <c r="IR260" s="48"/>
      <c r="IS260" s="48"/>
      <c r="IT260" s="48"/>
    </row>
    <row r="261" spans="1:254" s="112" customFormat="1" ht="14.25" customHeight="1">
      <c r="A261" s="91" t="s">
        <v>30</v>
      </c>
      <c r="B261" s="67"/>
      <c r="C261" s="91">
        <v>1000</v>
      </c>
      <c r="D261" s="17"/>
      <c r="E261" s="91" t="s">
        <v>30</v>
      </c>
      <c r="F261" s="67"/>
      <c r="G261" s="91">
        <v>1000</v>
      </c>
      <c r="H261" s="47"/>
      <c r="I261" s="92" t="s">
        <v>51</v>
      </c>
      <c r="J261" s="92">
        <v>1.4</v>
      </c>
      <c r="K261" s="92">
        <f t="shared" si="66"/>
        <v>16.222479721900346</v>
      </c>
      <c r="L261" s="47"/>
      <c r="M261" s="92" t="s">
        <v>32</v>
      </c>
      <c r="N261" s="92">
        <v>1.3</v>
      </c>
      <c r="O261" s="92">
        <f t="shared" si="67"/>
        <v>14.959723820483314</v>
      </c>
      <c r="P261" s="47"/>
      <c r="Q261" s="92" t="s">
        <v>68</v>
      </c>
      <c r="R261" s="92">
        <v>6.5</v>
      </c>
      <c r="S261" s="92">
        <f t="shared" si="68"/>
        <v>73.77979568671964</v>
      </c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  <c r="EB261" s="48"/>
      <c r="EC261" s="48"/>
      <c r="ED261" s="48"/>
      <c r="EE261" s="48"/>
      <c r="EF261" s="48"/>
      <c r="EG261" s="48"/>
      <c r="EH261" s="48"/>
      <c r="EI261" s="48"/>
      <c r="EJ261" s="48"/>
      <c r="EK261" s="48"/>
      <c r="EL261" s="48"/>
      <c r="EM261" s="48"/>
      <c r="EN261" s="48"/>
      <c r="EO261" s="48"/>
      <c r="EP261" s="48"/>
      <c r="EQ261" s="48"/>
      <c r="ER261" s="48"/>
      <c r="ES261" s="48"/>
      <c r="ET261" s="48"/>
      <c r="EU261" s="48"/>
      <c r="EV261" s="48"/>
      <c r="EW261" s="48"/>
      <c r="EX261" s="48"/>
      <c r="EY261" s="48"/>
      <c r="EZ261" s="48"/>
      <c r="FA261" s="48"/>
      <c r="FB261" s="48"/>
      <c r="FC261" s="48"/>
      <c r="FD261" s="48"/>
      <c r="FE261" s="48"/>
      <c r="FF261" s="48"/>
      <c r="FG261" s="48"/>
      <c r="FH261" s="48"/>
      <c r="FI261" s="48"/>
      <c r="FJ261" s="48"/>
      <c r="FK261" s="48"/>
      <c r="FL261" s="48"/>
      <c r="FM261" s="48"/>
      <c r="FN261" s="48"/>
      <c r="FO261" s="48"/>
      <c r="FP261" s="48"/>
      <c r="FQ261" s="48"/>
      <c r="FR261" s="48"/>
      <c r="FS261" s="48"/>
      <c r="FT261" s="48"/>
      <c r="FU261" s="48"/>
      <c r="FV261" s="48"/>
      <c r="FW261" s="48"/>
      <c r="FX261" s="48"/>
      <c r="FY261" s="48"/>
      <c r="FZ261" s="48"/>
      <c r="GA261" s="48"/>
      <c r="GB261" s="48"/>
      <c r="GC261" s="48"/>
      <c r="GD261" s="48"/>
      <c r="GE261" s="48"/>
      <c r="GF261" s="48"/>
      <c r="GG261" s="48"/>
      <c r="GH261" s="48"/>
      <c r="GI261" s="48"/>
      <c r="GJ261" s="48"/>
      <c r="GK261" s="48"/>
      <c r="GL261" s="48"/>
      <c r="GM261" s="48"/>
      <c r="GN261" s="48"/>
      <c r="GO261" s="48"/>
      <c r="GP261" s="48"/>
      <c r="GQ261" s="48"/>
      <c r="GR261" s="48"/>
      <c r="GS261" s="48"/>
      <c r="GT261" s="48"/>
      <c r="GU261" s="48"/>
      <c r="GV261" s="48"/>
      <c r="GW261" s="48"/>
      <c r="GX261" s="48"/>
      <c r="GY261" s="48"/>
      <c r="GZ261" s="48"/>
      <c r="HA261" s="48"/>
      <c r="HB261" s="48"/>
      <c r="HC261" s="48"/>
      <c r="HD261" s="48"/>
      <c r="HE261" s="48"/>
      <c r="HF261" s="48"/>
      <c r="HG261" s="48"/>
      <c r="HH261" s="48"/>
      <c r="HI261" s="48"/>
      <c r="HJ261" s="48"/>
      <c r="HK261" s="48"/>
      <c r="HL261" s="48"/>
      <c r="HM261" s="48"/>
      <c r="HN261" s="48"/>
      <c r="HO261" s="48"/>
      <c r="HP261" s="48"/>
      <c r="HQ261" s="48"/>
      <c r="HR261" s="48"/>
      <c r="HS261" s="48"/>
      <c r="HT261" s="48"/>
      <c r="HU261" s="48"/>
      <c r="HV261" s="48"/>
      <c r="HW261" s="48"/>
      <c r="HX261" s="48"/>
      <c r="HY261" s="48"/>
      <c r="HZ261" s="48"/>
      <c r="IA261" s="48"/>
      <c r="IB261" s="48"/>
      <c r="IC261" s="48"/>
      <c r="ID261" s="48"/>
      <c r="IE261" s="48"/>
      <c r="IF261" s="48"/>
      <c r="IG261" s="48"/>
      <c r="IH261" s="48"/>
      <c r="II261" s="48"/>
      <c r="IJ261" s="48"/>
      <c r="IK261" s="48"/>
      <c r="IL261" s="48"/>
      <c r="IM261" s="48"/>
      <c r="IN261" s="48"/>
      <c r="IO261" s="48"/>
      <c r="IP261" s="48"/>
      <c r="IQ261" s="48"/>
      <c r="IR261" s="48"/>
      <c r="IS261" s="48"/>
      <c r="IT261" s="48"/>
    </row>
    <row r="262" spans="1:254" s="112" customFormat="1" ht="14.25" customHeight="1">
      <c r="A262" s="40"/>
      <c r="B262" s="17"/>
      <c r="C262" s="6"/>
      <c r="D262" s="17"/>
      <c r="E262" s="61"/>
      <c r="F262" s="61"/>
      <c r="G262" s="61"/>
      <c r="H262" s="47"/>
      <c r="I262" s="92" t="s">
        <v>28</v>
      </c>
      <c r="J262" s="92">
        <v>6</v>
      </c>
      <c r="K262" s="92">
        <f t="shared" si="66"/>
        <v>69.52491309385864</v>
      </c>
      <c r="L262" s="47"/>
      <c r="M262" s="92" t="s">
        <v>28</v>
      </c>
      <c r="N262" s="92">
        <v>3</v>
      </c>
      <c r="O262" s="92">
        <f t="shared" si="67"/>
        <v>34.52243958573072</v>
      </c>
      <c r="P262" s="47"/>
      <c r="Q262" s="92" t="s">
        <v>23</v>
      </c>
      <c r="R262" s="92">
        <v>6.3</v>
      </c>
      <c r="S262" s="92">
        <f t="shared" si="68"/>
        <v>71.50964812712826</v>
      </c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/>
      <c r="EL262" s="48"/>
      <c r="EM262" s="48"/>
      <c r="EN262" s="48"/>
      <c r="EO262" s="48"/>
      <c r="EP262" s="48"/>
      <c r="EQ262" s="48"/>
      <c r="ER262" s="48"/>
      <c r="ES262" s="48"/>
      <c r="ET262" s="48"/>
      <c r="EU262" s="48"/>
      <c r="EV262" s="48"/>
      <c r="EW262" s="48"/>
      <c r="EX262" s="48"/>
      <c r="EY262" s="48"/>
      <c r="EZ262" s="48"/>
      <c r="FA262" s="48"/>
      <c r="FB262" s="48"/>
      <c r="FC262" s="48"/>
      <c r="FD262" s="48"/>
      <c r="FE262" s="48"/>
      <c r="FF262" s="48"/>
      <c r="FG262" s="48"/>
      <c r="FH262" s="48"/>
      <c r="FI262" s="48"/>
      <c r="FJ262" s="48"/>
      <c r="FK262" s="48"/>
      <c r="FL262" s="48"/>
      <c r="FM262" s="48"/>
      <c r="FN262" s="48"/>
      <c r="FO262" s="48"/>
      <c r="FP262" s="48"/>
      <c r="FQ262" s="48"/>
      <c r="FR262" s="48"/>
      <c r="FS262" s="48"/>
      <c r="FT262" s="48"/>
      <c r="FU262" s="48"/>
      <c r="FV262" s="48"/>
      <c r="FW262" s="48"/>
      <c r="FX262" s="48"/>
      <c r="FY262" s="48"/>
      <c r="FZ262" s="48"/>
      <c r="GA262" s="48"/>
      <c r="GB262" s="48"/>
      <c r="GC262" s="48"/>
      <c r="GD262" s="48"/>
      <c r="GE262" s="48"/>
      <c r="GF262" s="48"/>
      <c r="GG262" s="48"/>
      <c r="GH262" s="48"/>
      <c r="GI262" s="48"/>
      <c r="GJ262" s="48"/>
      <c r="GK262" s="48"/>
      <c r="GL262" s="48"/>
      <c r="GM262" s="48"/>
      <c r="GN262" s="48"/>
      <c r="GO262" s="48"/>
      <c r="GP262" s="48"/>
      <c r="GQ262" s="48"/>
      <c r="GR262" s="48"/>
      <c r="GS262" s="48"/>
      <c r="GT262" s="48"/>
      <c r="GU262" s="48"/>
      <c r="GV262" s="48"/>
      <c r="GW262" s="48"/>
      <c r="GX262" s="48"/>
      <c r="GY262" s="48"/>
      <c r="GZ262" s="48"/>
      <c r="HA262" s="48"/>
      <c r="HB262" s="48"/>
      <c r="HC262" s="48"/>
      <c r="HD262" s="48"/>
      <c r="HE262" s="48"/>
      <c r="HF262" s="48"/>
      <c r="HG262" s="48"/>
      <c r="HH262" s="48"/>
      <c r="HI262" s="48"/>
      <c r="HJ262" s="48"/>
      <c r="HK262" s="48"/>
      <c r="HL262" s="48"/>
      <c r="HM262" s="48"/>
      <c r="HN262" s="48"/>
      <c r="HO262" s="48"/>
      <c r="HP262" s="48"/>
      <c r="HQ262" s="48"/>
      <c r="HR262" s="48"/>
      <c r="HS262" s="48"/>
      <c r="HT262" s="48"/>
      <c r="HU262" s="48"/>
      <c r="HV262" s="48"/>
      <c r="HW262" s="48"/>
      <c r="HX262" s="48"/>
      <c r="HY262" s="48"/>
      <c r="HZ262" s="48"/>
      <c r="IA262" s="48"/>
      <c r="IB262" s="48"/>
      <c r="IC262" s="48"/>
      <c r="ID262" s="48"/>
      <c r="IE262" s="48"/>
      <c r="IF262" s="48"/>
      <c r="IG262" s="48"/>
      <c r="IH262" s="48"/>
      <c r="II262" s="48"/>
      <c r="IJ262" s="48"/>
      <c r="IK262" s="48"/>
      <c r="IL262" s="48"/>
      <c r="IM262" s="48"/>
      <c r="IN262" s="48"/>
      <c r="IO262" s="48"/>
      <c r="IP262" s="48"/>
      <c r="IQ262" s="48"/>
      <c r="IR262" s="48"/>
      <c r="IS262" s="48"/>
      <c r="IT262" s="48"/>
    </row>
    <row r="263" spans="1:254" s="112" customFormat="1" ht="14.25" customHeight="1">
      <c r="A263" s="40"/>
      <c r="B263" s="17"/>
      <c r="C263" s="6"/>
      <c r="D263" s="17"/>
      <c r="E263" s="41"/>
      <c r="F263" s="47"/>
      <c r="G263" s="5"/>
      <c r="H263" s="47"/>
      <c r="I263" s="91" t="s">
        <v>30</v>
      </c>
      <c r="J263" s="67"/>
      <c r="K263" s="91">
        <v>1000</v>
      </c>
      <c r="L263" s="47"/>
      <c r="M263" s="91" t="s">
        <v>30</v>
      </c>
      <c r="N263" s="67"/>
      <c r="O263" s="91">
        <v>1000</v>
      </c>
      <c r="P263" s="47"/>
      <c r="Q263" s="91" t="s">
        <v>30</v>
      </c>
      <c r="R263" s="67"/>
      <c r="S263" s="91">
        <v>1000</v>
      </c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  <c r="EB263" s="48"/>
      <c r="EC263" s="48"/>
      <c r="ED263" s="48"/>
      <c r="EE263" s="48"/>
      <c r="EF263" s="48"/>
      <c r="EG263" s="48"/>
      <c r="EH263" s="48"/>
      <c r="EI263" s="48"/>
      <c r="EJ263" s="48"/>
      <c r="EK263" s="48"/>
      <c r="EL263" s="48"/>
      <c r="EM263" s="48"/>
      <c r="EN263" s="48"/>
      <c r="EO263" s="48"/>
      <c r="EP263" s="48"/>
      <c r="EQ263" s="48"/>
      <c r="ER263" s="48"/>
      <c r="ES263" s="48"/>
      <c r="ET263" s="48"/>
      <c r="EU263" s="48"/>
      <c r="EV263" s="48"/>
      <c r="EW263" s="48"/>
      <c r="EX263" s="48"/>
      <c r="EY263" s="48"/>
      <c r="EZ263" s="48"/>
      <c r="FA263" s="48"/>
      <c r="FB263" s="48"/>
      <c r="FC263" s="48"/>
      <c r="FD263" s="48"/>
      <c r="FE263" s="48"/>
      <c r="FF263" s="48"/>
      <c r="FG263" s="48"/>
      <c r="FH263" s="48"/>
      <c r="FI263" s="48"/>
      <c r="FJ263" s="48"/>
      <c r="FK263" s="48"/>
      <c r="FL263" s="48"/>
      <c r="FM263" s="48"/>
      <c r="FN263" s="48"/>
      <c r="FO263" s="48"/>
      <c r="FP263" s="48"/>
      <c r="FQ263" s="48"/>
      <c r="FR263" s="48"/>
      <c r="FS263" s="48"/>
      <c r="FT263" s="48"/>
      <c r="FU263" s="48"/>
      <c r="FV263" s="48"/>
      <c r="FW263" s="48"/>
      <c r="FX263" s="48"/>
      <c r="FY263" s="48"/>
      <c r="FZ263" s="48"/>
      <c r="GA263" s="48"/>
      <c r="GB263" s="48"/>
      <c r="GC263" s="48"/>
      <c r="GD263" s="48"/>
      <c r="GE263" s="48"/>
      <c r="GF263" s="48"/>
      <c r="GG263" s="48"/>
      <c r="GH263" s="48"/>
      <c r="GI263" s="48"/>
      <c r="GJ263" s="48"/>
      <c r="GK263" s="48"/>
      <c r="GL263" s="48"/>
      <c r="GM263" s="48"/>
      <c r="GN263" s="48"/>
      <c r="GO263" s="48"/>
      <c r="GP263" s="48"/>
      <c r="GQ263" s="48"/>
      <c r="GR263" s="48"/>
      <c r="GS263" s="48"/>
      <c r="GT263" s="48"/>
      <c r="GU263" s="48"/>
      <c r="GV263" s="48"/>
      <c r="GW263" s="48"/>
      <c r="GX263" s="48"/>
      <c r="GY263" s="48"/>
      <c r="GZ263" s="48"/>
      <c r="HA263" s="48"/>
      <c r="HB263" s="48"/>
      <c r="HC263" s="48"/>
      <c r="HD263" s="48"/>
      <c r="HE263" s="48"/>
      <c r="HF263" s="48"/>
      <c r="HG263" s="48"/>
      <c r="HH263" s="48"/>
      <c r="HI263" s="48"/>
      <c r="HJ263" s="48"/>
      <c r="HK263" s="48"/>
      <c r="HL263" s="48"/>
      <c r="HM263" s="48"/>
      <c r="HN263" s="48"/>
      <c r="HO263" s="48"/>
      <c r="HP263" s="48"/>
      <c r="HQ263" s="48"/>
      <c r="HR263" s="48"/>
      <c r="HS263" s="48"/>
      <c r="HT263" s="48"/>
      <c r="HU263" s="48"/>
      <c r="HV263" s="48"/>
      <c r="HW263" s="48"/>
      <c r="HX263" s="48"/>
      <c r="HY263" s="48"/>
      <c r="HZ263" s="48"/>
      <c r="IA263" s="48"/>
      <c r="IB263" s="48"/>
      <c r="IC263" s="48"/>
      <c r="ID263" s="48"/>
      <c r="IE263" s="48"/>
      <c r="IF263" s="48"/>
      <c r="IG263" s="48"/>
      <c r="IH263" s="48"/>
      <c r="II263" s="48"/>
      <c r="IJ263" s="48"/>
      <c r="IK263" s="48"/>
      <c r="IL263" s="48"/>
      <c r="IM263" s="48"/>
      <c r="IN263" s="48"/>
      <c r="IO263" s="48"/>
      <c r="IP263" s="48"/>
      <c r="IQ263" s="48"/>
      <c r="IR263" s="48"/>
      <c r="IS263" s="48"/>
      <c r="IT263" s="48"/>
    </row>
    <row r="264" spans="1:254" s="112" customFormat="1" ht="14.25" customHeight="1">
      <c r="A264" s="115"/>
      <c r="B264" s="115"/>
      <c r="C264" s="115"/>
      <c r="D264" s="17"/>
      <c r="E264" s="41"/>
      <c r="F264" s="17"/>
      <c r="G264" s="6"/>
      <c r="H264" s="17"/>
      <c r="I264" s="41"/>
      <c r="J264" s="47"/>
      <c r="K264" s="5"/>
      <c r="L264" s="47"/>
      <c r="M264" s="40"/>
      <c r="N264" s="47"/>
      <c r="O264" s="5"/>
      <c r="P264" s="47"/>
      <c r="Q264" s="40"/>
      <c r="R264" s="47"/>
      <c r="S264" s="5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48"/>
      <c r="ED264" s="48"/>
      <c r="EE264" s="48"/>
      <c r="EF264" s="48"/>
      <c r="EG264" s="48"/>
      <c r="EH264" s="48"/>
      <c r="EI264" s="48"/>
      <c r="EJ264" s="48"/>
      <c r="EK264" s="48"/>
      <c r="EL264" s="48"/>
      <c r="EM264" s="48"/>
      <c r="EN264" s="48"/>
      <c r="EO264" s="48"/>
      <c r="EP264" s="48"/>
      <c r="EQ264" s="48"/>
      <c r="ER264" s="48"/>
      <c r="ES264" s="48"/>
      <c r="ET264" s="48"/>
      <c r="EU264" s="48"/>
      <c r="EV264" s="48"/>
      <c r="EW264" s="48"/>
      <c r="EX264" s="48"/>
      <c r="EY264" s="48"/>
      <c r="EZ264" s="48"/>
      <c r="FA264" s="48"/>
      <c r="FB264" s="48"/>
      <c r="FC264" s="48"/>
      <c r="FD264" s="48"/>
      <c r="FE264" s="48"/>
      <c r="FF264" s="48"/>
      <c r="FG264" s="48"/>
      <c r="FH264" s="48"/>
      <c r="FI264" s="48"/>
      <c r="FJ264" s="48"/>
      <c r="FK264" s="48"/>
      <c r="FL264" s="48"/>
      <c r="FM264" s="48"/>
      <c r="FN264" s="48"/>
      <c r="FO264" s="48"/>
      <c r="FP264" s="48"/>
      <c r="FQ264" s="48"/>
      <c r="FR264" s="48"/>
      <c r="FS264" s="48"/>
      <c r="FT264" s="48"/>
      <c r="FU264" s="48"/>
      <c r="FV264" s="48"/>
      <c r="FW264" s="48"/>
      <c r="FX264" s="48"/>
      <c r="FY264" s="48"/>
      <c r="FZ264" s="48"/>
      <c r="GA264" s="48"/>
      <c r="GB264" s="48"/>
      <c r="GC264" s="48"/>
      <c r="GD264" s="48"/>
      <c r="GE264" s="48"/>
      <c r="GF264" s="48"/>
      <c r="GG264" s="48"/>
      <c r="GH264" s="48"/>
      <c r="GI264" s="48"/>
      <c r="GJ264" s="48"/>
      <c r="GK264" s="48"/>
      <c r="GL264" s="48"/>
      <c r="GM264" s="48"/>
      <c r="GN264" s="48"/>
      <c r="GO264" s="48"/>
      <c r="GP264" s="48"/>
      <c r="GQ264" s="48"/>
      <c r="GR264" s="48"/>
      <c r="GS264" s="48"/>
      <c r="GT264" s="48"/>
      <c r="GU264" s="48"/>
      <c r="GV264" s="48"/>
      <c r="GW264" s="48"/>
      <c r="GX264" s="48"/>
      <c r="GY264" s="48"/>
      <c r="GZ264" s="48"/>
      <c r="HA264" s="48"/>
      <c r="HB264" s="48"/>
      <c r="HC264" s="48"/>
      <c r="HD264" s="48"/>
      <c r="HE264" s="48"/>
      <c r="HF264" s="48"/>
      <c r="HG264" s="48"/>
      <c r="HH264" s="48"/>
      <c r="HI264" s="48"/>
      <c r="HJ264" s="48"/>
      <c r="HK264" s="48"/>
      <c r="HL264" s="48"/>
      <c r="HM264" s="48"/>
      <c r="HN264" s="48"/>
      <c r="HO264" s="48"/>
      <c r="HP264" s="48"/>
      <c r="HQ264" s="48"/>
      <c r="HR264" s="48"/>
      <c r="HS264" s="48"/>
      <c r="HT264" s="48"/>
      <c r="HU264" s="48"/>
      <c r="HV264" s="48"/>
      <c r="HW264" s="48"/>
      <c r="HX264" s="48"/>
      <c r="HY264" s="48"/>
      <c r="HZ264" s="48"/>
      <c r="IA264" s="48"/>
      <c r="IB264" s="48"/>
      <c r="IC264" s="48"/>
      <c r="ID264" s="48"/>
      <c r="IE264" s="48"/>
      <c r="IF264" s="48"/>
      <c r="IG264" s="48"/>
      <c r="IH264" s="48"/>
      <c r="II264" s="48"/>
      <c r="IJ264" s="48"/>
      <c r="IK264" s="48"/>
      <c r="IL264" s="48"/>
      <c r="IM264" s="48"/>
      <c r="IN264" s="48"/>
      <c r="IO264" s="48"/>
      <c r="IP264" s="48"/>
      <c r="IQ264" s="48"/>
      <c r="IR264" s="48"/>
      <c r="IS264" s="48"/>
      <c r="IT264" s="48"/>
    </row>
    <row r="265" spans="1:254" s="112" customFormat="1" ht="14.25" customHeight="1">
      <c r="A265" s="115"/>
      <c r="B265" s="115"/>
      <c r="C265" s="115"/>
      <c r="D265" s="17"/>
      <c r="E265" s="41"/>
      <c r="F265" s="17"/>
      <c r="G265" s="6"/>
      <c r="H265" s="17"/>
      <c r="I265" s="41"/>
      <c r="J265" s="47"/>
      <c r="K265" s="5"/>
      <c r="L265" s="47"/>
      <c r="M265" s="40"/>
      <c r="N265" s="47"/>
      <c r="O265" s="5"/>
      <c r="P265" s="47"/>
      <c r="Q265" s="40"/>
      <c r="R265" s="47"/>
      <c r="S265" s="5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  <c r="EB265" s="48"/>
      <c r="EC265" s="48"/>
      <c r="ED265" s="48"/>
      <c r="EE265" s="48"/>
      <c r="EF265" s="48"/>
      <c r="EG265" s="48"/>
      <c r="EH265" s="48"/>
      <c r="EI265" s="48"/>
      <c r="EJ265" s="48"/>
      <c r="EK265" s="48"/>
      <c r="EL265" s="48"/>
      <c r="EM265" s="48"/>
      <c r="EN265" s="48"/>
      <c r="EO265" s="48"/>
      <c r="EP265" s="48"/>
      <c r="EQ265" s="48"/>
      <c r="ER265" s="48"/>
      <c r="ES265" s="48"/>
      <c r="ET265" s="48"/>
      <c r="EU265" s="48"/>
      <c r="EV265" s="48"/>
      <c r="EW265" s="48"/>
      <c r="EX265" s="48"/>
      <c r="EY265" s="48"/>
      <c r="EZ265" s="48"/>
      <c r="FA265" s="48"/>
      <c r="FB265" s="48"/>
      <c r="FC265" s="48"/>
      <c r="FD265" s="48"/>
      <c r="FE265" s="48"/>
      <c r="FF265" s="48"/>
      <c r="FG265" s="48"/>
      <c r="FH265" s="48"/>
      <c r="FI265" s="48"/>
      <c r="FJ265" s="48"/>
      <c r="FK265" s="48"/>
      <c r="FL265" s="48"/>
      <c r="FM265" s="48"/>
      <c r="FN265" s="48"/>
      <c r="FO265" s="48"/>
      <c r="FP265" s="48"/>
      <c r="FQ265" s="48"/>
      <c r="FR265" s="48"/>
      <c r="FS265" s="48"/>
      <c r="FT265" s="48"/>
      <c r="FU265" s="48"/>
      <c r="FV265" s="48"/>
      <c r="FW265" s="48"/>
      <c r="FX265" s="48"/>
      <c r="FY265" s="48"/>
      <c r="FZ265" s="48"/>
      <c r="GA265" s="48"/>
      <c r="GB265" s="48"/>
      <c r="GC265" s="48"/>
      <c r="GD265" s="48"/>
      <c r="GE265" s="48"/>
      <c r="GF265" s="48"/>
      <c r="GG265" s="48"/>
      <c r="GH265" s="48"/>
      <c r="GI265" s="48"/>
      <c r="GJ265" s="48"/>
      <c r="GK265" s="48"/>
      <c r="GL265" s="48"/>
      <c r="GM265" s="48"/>
      <c r="GN265" s="48"/>
      <c r="GO265" s="48"/>
      <c r="GP265" s="48"/>
      <c r="GQ265" s="48"/>
      <c r="GR265" s="48"/>
      <c r="GS265" s="48"/>
      <c r="GT265" s="48"/>
      <c r="GU265" s="48"/>
      <c r="GV265" s="48"/>
      <c r="GW265" s="48"/>
      <c r="GX265" s="48"/>
      <c r="GY265" s="48"/>
      <c r="GZ265" s="48"/>
      <c r="HA265" s="48"/>
      <c r="HB265" s="48"/>
      <c r="HC265" s="48"/>
      <c r="HD265" s="48"/>
      <c r="HE265" s="48"/>
      <c r="HF265" s="48"/>
      <c r="HG265" s="48"/>
      <c r="HH265" s="48"/>
      <c r="HI265" s="48"/>
      <c r="HJ265" s="48"/>
      <c r="HK265" s="48"/>
      <c r="HL265" s="48"/>
      <c r="HM265" s="48"/>
      <c r="HN265" s="48"/>
      <c r="HO265" s="48"/>
      <c r="HP265" s="48"/>
      <c r="HQ265" s="48"/>
      <c r="HR265" s="48"/>
      <c r="HS265" s="48"/>
      <c r="HT265" s="48"/>
      <c r="HU265" s="48"/>
      <c r="HV265" s="48"/>
      <c r="HW265" s="48"/>
      <c r="HX265" s="48"/>
      <c r="HY265" s="48"/>
      <c r="HZ265" s="48"/>
      <c r="IA265" s="48"/>
      <c r="IB265" s="48"/>
      <c r="IC265" s="48"/>
      <c r="ID265" s="48"/>
      <c r="IE265" s="48"/>
      <c r="IF265" s="48"/>
      <c r="IG265" s="48"/>
      <c r="IH265" s="48"/>
      <c r="II265" s="48"/>
      <c r="IJ265" s="48"/>
      <c r="IK265" s="48"/>
      <c r="IL265" s="48"/>
      <c r="IM265" s="48"/>
      <c r="IN265" s="48"/>
      <c r="IO265" s="48"/>
      <c r="IP265" s="48"/>
      <c r="IQ265" s="48"/>
      <c r="IR265" s="48"/>
      <c r="IS265" s="48"/>
      <c r="IT265" s="48"/>
    </row>
    <row r="266" spans="1:254" s="112" customFormat="1" ht="14.25" customHeight="1">
      <c r="A266" s="115"/>
      <c r="B266" s="115"/>
      <c r="C266" s="115"/>
      <c r="D266" s="17"/>
      <c r="E266" s="41"/>
      <c r="F266" s="17"/>
      <c r="G266" s="6"/>
      <c r="H266" s="17"/>
      <c r="I266" s="41"/>
      <c r="J266" s="47"/>
      <c r="K266" s="5"/>
      <c r="L266" s="47"/>
      <c r="M266" s="40"/>
      <c r="N266" s="47"/>
      <c r="O266" s="5"/>
      <c r="P266" s="47"/>
      <c r="Q266" s="40"/>
      <c r="R266" s="47"/>
      <c r="S266" s="5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  <c r="EB266" s="48"/>
      <c r="EC266" s="48"/>
      <c r="ED266" s="48"/>
      <c r="EE266" s="48"/>
      <c r="EF266" s="48"/>
      <c r="EG266" s="48"/>
      <c r="EH266" s="48"/>
      <c r="EI266" s="48"/>
      <c r="EJ266" s="48"/>
      <c r="EK266" s="48"/>
      <c r="EL266" s="48"/>
      <c r="EM266" s="48"/>
      <c r="EN266" s="48"/>
      <c r="EO266" s="48"/>
      <c r="EP266" s="48"/>
      <c r="EQ266" s="48"/>
      <c r="ER266" s="48"/>
      <c r="ES266" s="48"/>
      <c r="ET266" s="48"/>
      <c r="EU266" s="48"/>
      <c r="EV266" s="48"/>
      <c r="EW266" s="48"/>
      <c r="EX266" s="48"/>
      <c r="EY266" s="48"/>
      <c r="EZ266" s="48"/>
      <c r="FA266" s="48"/>
      <c r="FB266" s="48"/>
      <c r="FC266" s="48"/>
      <c r="FD266" s="48"/>
      <c r="FE266" s="48"/>
      <c r="FF266" s="48"/>
      <c r="FG266" s="48"/>
      <c r="FH266" s="48"/>
      <c r="FI266" s="48"/>
      <c r="FJ266" s="48"/>
      <c r="FK266" s="48"/>
      <c r="FL266" s="48"/>
      <c r="FM266" s="48"/>
      <c r="FN266" s="48"/>
      <c r="FO266" s="48"/>
      <c r="FP266" s="48"/>
      <c r="FQ266" s="48"/>
      <c r="FR266" s="48"/>
      <c r="FS266" s="48"/>
      <c r="FT266" s="48"/>
      <c r="FU266" s="48"/>
      <c r="FV266" s="48"/>
      <c r="FW266" s="48"/>
      <c r="FX266" s="48"/>
      <c r="FY266" s="48"/>
      <c r="FZ266" s="48"/>
      <c r="GA266" s="48"/>
      <c r="GB266" s="48"/>
      <c r="GC266" s="48"/>
      <c r="GD266" s="48"/>
      <c r="GE266" s="48"/>
      <c r="GF266" s="48"/>
      <c r="GG266" s="48"/>
      <c r="GH266" s="48"/>
      <c r="GI266" s="48"/>
      <c r="GJ266" s="48"/>
      <c r="GK266" s="48"/>
      <c r="GL266" s="48"/>
      <c r="GM266" s="48"/>
      <c r="GN266" s="48"/>
      <c r="GO266" s="48"/>
      <c r="GP266" s="48"/>
      <c r="GQ266" s="48"/>
      <c r="GR266" s="48"/>
      <c r="GS266" s="48"/>
      <c r="GT266" s="48"/>
      <c r="GU266" s="48"/>
      <c r="GV266" s="48"/>
      <c r="GW266" s="48"/>
      <c r="GX266" s="48"/>
      <c r="GY266" s="48"/>
      <c r="GZ266" s="48"/>
      <c r="HA266" s="48"/>
      <c r="HB266" s="48"/>
      <c r="HC266" s="48"/>
      <c r="HD266" s="48"/>
      <c r="HE266" s="48"/>
      <c r="HF266" s="48"/>
      <c r="HG266" s="48"/>
      <c r="HH266" s="48"/>
      <c r="HI266" s="48"/>
      <c r="HJ266" s="48"/>
      <c r="HK266" s="48"/>
      <c r="HL266" s="48"/>
      <c r="HM266" s="48"/>
      <c r="HN266" s="48"/>
      <c r="HO266" s="48"/>
      <c r="HP266" s="48"/>
      <c r="HQ266" s="48"/>
      <c r="HR266" s="48"/>
      <c r="HS266" s="48"/>
      <c r="HT266" s="48"/>
      <c r="HU266" s="48"/>
      <c r="HV266" s="48"/>
      <c r="HW266" s="48"/>
      <c r="HX266" s="48"/>
      <c r="HY266" s="48"/>
      <c r="HZ266" s="48"/>
      <c r="IA266" s="48"/>
      <c r="IB266" s="48"/>
      <c r="IC266" s="48"/>
      <c r="ID266" s="48"/>
      <c r="IE266" s="48"/>
      <c r="IF266" s="48"/>
      <c r="IG266" s="48"/>
      <c r="IH266" s="48"/>
      <c r="II266" s="48"/>
      <c r="IJ266" s="48"/>
      <c r="IK266" s="48"/>
      <c r="IL266" s="48"/>
      <c r="IM266" s="48"/>
      <c r="IN266" s="48"/>
      <c r="IO266" s="48"/>
      <c r="IP266" s="48"/>
      <c r="IQ266" s="48"/>
      <c r="IR266" s="48"/>
      <c r="IS266" s="48"/>
      <c r="IT266" s="48"/>
    </row>
    <row r="267" spans="2:254" s="112" customFormat="1" ht="14.25" customHeight="1">
      <c r="B267" s="115"/>
      <c r="C267" s="116" t="s">
        <v>226</v>
      </c>
      <c r="D267" s="17"/>
      <c r="E267" s="41"/>
      <c r="F267" s="17"/>
      <c r="G267" s="6"/>
      <c r="H267" s="17"/>
      <c r="I267" s="41"/>
      <c r="J267" s="47"/>
      <c r="K267" s="5"/>
      <c r="L267" s="47"/>
      <c r="M267" s="40"/>
      <c r="N267" s="47"/>
      <c r="O267" s="5"/>
      <c r="P267" s="47"/>
      <c r="Q267" s="40"/>
      <c r="R267" s="47"/>
      <c r="S267" s="5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  <c r="EB267" s="48"/>
      <c r="EC267" s="48"/>
      <c r="ED267" s="48"/>
      <c r="EE267" s="48"/>
      <c r="EF267" s="48"/>
      <c r="EG267" s="48"/>
      <c r="EH267" s="48"/>
      <c r="EI267" s="48"/>
      <c r="EJ267" s="48"/>
      <c r="EK267" s="48"/>
      <c r="EL267" s="48"/>
      <c r="EM267" s="48"/>
      <c r="EN267" s="48"/>
      <c r="EO267" s="48"/>
      <c r="EP267" s="48"/>
      <c r="EQ267" s="48"/>
      <c r="ER267" s="48"/>
      <c r="ES267" s="48"/>
      <c r="ET267" s="48"/>
      <c r="EU267" s="48"/>
      <c r="EV267" s="48"/>
      <c r="EW267" s="48"/>
      <c r="EX267" s="48"/>
      <c r="EY267" s="48"/>
      <c r="EZ267" s="48"/>
      <c r="FA267" s="48"/>
      <c r="FB267" s="48"/>
      <c r="FC267" s="48"/>
      <c r="FD267" s="48"/>
      <c r="FE267" s="48"/>
      <c r="FF267" s="48"/>
      <c r="FG267" s="48"/>
      <c r="FH267" s="48"/>
      <c r="FI267" s="48"/>
      <c r="FJ267" s="48"/>
      <c r="FK267" s="48"/>
      <c r="FL267" s="48"/>
      <c r="FM267" s="48"/>
      <c r="FN267" s="48"/>
      <c r="FO267" s="48"/>
      <c r="FP267" s="48"/>
      <c r="FQ267" s="48"/>
      <c r="FR267" s="48"/>
      <c r="FS267" s="48"/>
      <c r="FT267" s="48"/>
      <c r="FU267" s="48"/>
      <c r="FV267" s="48"/>
      <c r="FW267" s="48"/>
      <c r="FX267" s="48"/>
      <c r="FY267" s="48"/>
      <c r="FZ267" s="48"/>
      <c r="GA267" s="48"/>
      <c r="GB267" s="48"/>
      <c r="GC267" s="48"/>
      <c r="GD267" s="48"/>
      <c r="GE267" s="48"/>
      <c r="GF267" s="48"/>
      <c r="GG267" s="48"/>
      <c r="GH267" s="48"/>
      <c r="GI267" s="48"/>
      <c r="GJ267" s="48"/>
      <c r="GK267" s="48"/>
      <c r="GL267" s="48"/>
      <c r="GM267" s="48"/>
      <c r="GN267" s="48"/>
      <c r="GO267" s="48"/>
      <c r="GP267" s="48"/>
      <c r="GQ267" s="48"/>
      <c r="GR267" s="48"/>
      <c r="GS267" s="48"/>
      <c r="GT267" s="48"/>
      <c r="GU267" s="48"/>
      <c r="GV267" s="48"/>
      <c r="GW267" s="48"/>
      <c r="GX267" s="48"/>
      <c r="GY267" s="48"/>
      <c r="GZ267" s="48"/>
      <c r="HA267" s="48"/>
      <c r="HB267" s="48"/>
      <c r="HC267" s="48"/>
      <c r="HD267" s="48"/>
      <c r="HE267" s="48"/>
      <c r="HF267" s="48"/>
      <c r="HG267" s="48"/>
      <c r="HH267" s="48"/>
      <c r="HI267" s="48"/>
      <c r="HJ267" s="48"/>
      <c r="HK267" s="48"/>
      <c r="HL267" s="48"/>
      <c r="HM267" s="48"/>
      <c r="HN267" s="48"/>
      <c r="HO267" s="48"/>
      <c r="HP267" s="48"/>
      <c r="HQ267" s="48"/>
      <c r="HR267" s="48"/>
      <c r="HS267" s="48"/>
      <c r="HT267" s="48"/>
      <c r="HU267" s="48"/>
      <c r="HV267" s="48"/>
      <c r="HW267" s="48"/>
      <c r="HX267" s="48"/>
      <c r="HY267" s="48"/>
      <c r="HZ267" s="48"/>
      <c r="IA267" s="48"/>
      <c r="IB267" s="48"/>
      <c r="IC267" s="48"/>
      <c r="ID267" s="48"/>
      <c r="IE267" s="48"/>
      <c r="IF267" s="48"/>
      <c r="IG267" s="48"/>
      <c r="IH267" s="48"/>
      <c r="II267" s="48"/>
      <c r="IJ267" s="48"/>
      <c r="IK267" s="48"/>
      <c r="IL267" s="48"/>
      <c r="IM267" s="48"/>
      <c r="IN267" s="48"/>
      <c r="IO267" s="48"/>
      <c r="IP267" s="48"/>
      <c r="IQ267" s="48"/>
      <c r="IR267" s="48"/>
      <c r="IS267" s="48"/>
      <c r="IT267" s="48"/>
    </row>
    <row r="268" spans="1:254" s="112" customFormat="1" ht="14.25" customHeight="1">
      <c r="A268" s="115"/>
      <c r="B268" s="115"/>
      <c r="C268" s="115"/>
      <c r="D268" s="17"/>
      <c r="E268" s="41"/>
      <c r="F268" s="17"/>
      <c r="G268" s="6"/>
      <c r="H268" s="17"/>
      <c r="I268" s="41"/>
      <c r="J268" s="47"/>
      <c r="K268" s="5"/>
      <c r="L268" s="47"/>
      <c r="M268" s="40"/>
      <c r="N268" s="47"/>
      <c r="O268" s="5"/>
      <c r="P268" s="47"/>
      <c r="Q268" s="40"/>
      <c r="R268" s="47"/>
      <c r="S268" s="5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  <c r="EB268" s="48"/>
      <c r="EC268" s="48"/>
      <c r="ED268" s="48"/>
      <c r="EE268" s="48"/>
      <c r="EF268" s="48"/>
      <c r="EG268" s="48"/>
      <c r="EH268" s="48"/>
      <c r="EI268" s="48"/>
      <c r="EJ268" s="48"/>
      <c r="EK268" s="48"/>
      <c r="EL268" s="48"/>
      <c r="EM268" s="48"/>
      <c r="EN268" s="48"/>
      <c r="EO268" s="48"/>
      <c r="EP268" s="48"/>
      <c r="EQ268" s="48"/>
      <c r="ER268" s="48"/>
      <c r="ES268" s="48"/>
      <c r="ET268" s="48"/>
      <c r="EU268" s="48"/>
      <c r="EV268" s="48"/>
      <c r="EW268" s="48"/>
      <c r="EX268" s="48"/>
      <c r="EY268" s="48"/>
      <c r="EZ268" s="48"/>
      <c r="FA268" s="48"/>
      <c r="FB268" s="48"/>
      <c r="FC268" s="48"/>
      <c r="FD268" s="48"/>
      <c r="FE268" s="48"/>
      <c r="FF268" s="48"/>
      <c r="FG268" s="48"/>
      <c r="FH268" s="48"/>
      <c r="FI268" s="48"/>
      <c r="FJ268" s="48"/>
      <c r="FK268" s="48"/>
      <c r="FL268" s="48"/>
      <c r="FM268" s="48"/>
      <c r="FN268" s="48"/>
      <c r="FO268" s="48"/>
      <c r="FP268" s="48"/>
      <c r="FQ268" s="48"/>
      <c r="FR268" s="48"/>
      <c r="FS268" s="48"/>
      <c r="FT268" s="48"/>
      <c r="FU268" s="48"/>
      <c r="FV268" s="48"/>
      <c r="FW268" s="48"/>
      <c r="FX268" s="48"/>
      <c r="FY268" s="48"/>
      <c r="FZ268" s="48"/>
      <c r="GA268" s="48"/>
      <c r="GB268" s="48"/>
      <c r="GC268" s="48"/>
      <c r="GD268" s="48"/>
      <c r="GE268" s="48"/>
      <c r="GF268" s="48"/>
      <c r="GG268" s="48"/>
      <c r="GH268" s="48"/>
      <c r="GI268" s="48"/>
      <c r="GJ268" s="48"/>
      <c r="GK268" s="48"/>
      <c r="GL268" s="48"/>
      <c r="GM268" s="48"/>
      <c r="GN268" s="48"/>
      <c r="GO268" s="48"/>
      <c r="GP268" s="48"/>
      <c r="GQ268" s="48"/>
      <c r="GR268" s="48"/>
      <c r="GS268" s="48"/>
      <c r="GT268" s="48"/>
      <c r="GU268" s="48"/>
      <c r="GV268" s="48"/>
      <c r="GW268" s="48"/>
      <c r="GX268" s="48"/>
      <c r="GY268" s="48"/>
      <c r="GZ268" s="48"/>
      <c r="HA268" s="48"/>
      <c r="HB268" s="48"/>
      <c r="HC268" s="48"/>
      <c r="HD268" s="48"/>
      <c r="HE268" s="48"/>
      <c r="HF268" s="48"/>
      <c r="HG268" s="48"/>
      <c r="HH268" s="48"/>
      <c r="HI268" s="48"/>
      <c r="HJ268" s="48"/>
      <c r="HK268" s="48"/>
      <c r="HL268" s="48"/>
      <c r="HM268" s="48"/>
      <c r="HN268" s="48"/>
      <c r="HO268" s="48"/>
      <c r="HP268" s="48"/>
      <c r="HQ268" s="48"/>
      <c r="HR268" s="48"/>
      <c r="HS268" s="48"/>
      <c r="HT268" s="48"/>
      <c r="HU268" s="48"/>
      <c r="HV268" s="48"/>
      <c r="HW268" s="48"/>
      <c r="HX268" s="48"/>
      <c r="HY268" s="48"/>
      <c r="HZ268" s="48"/>
      <c r="IA268" s="48"/>
      <c r="IB268" s="48"/>
      <c r="IC268" s="48"/>
      <c r="ID268" s="48"/>
      <c r="IE268" s="48"/>
      <c r="IF268" s="48"/>
      <c r="IG268" s="48"/>
      <c r="IH268" s="48"/>
      <c r="II268" s="48"/>
      <c r="IJ268" s="48"/>
      <c r="IK268" s="48"/>
      <c r="IL268" s="48"/>
      <c r="IM268" s="48"/>
      <c r="IN268" s="48"/>
      <c r="IO268" s="48"/>
      <c r="IP268" s="48"/>
      <c r="IQ268" s="48"/>
      <c r="IR268" s="48"/>
      <c r="IS268" s="48"/>
      <c r="IT268" s="48"/>
    </row>
    <row r="269" spans="1:254" s="112" customFormat="1" ht="14.25" customHeight="1">
      <c r="A269" s="115"/>
      <c r="B269" s="115"/>
      <c r="C269" s="115"/>
      <c r="D269" s="93"/>
      <c r="E269" s="41"/>
      <c r="F269" s="17"/>
      <c r="G269" s="6"/>
      <c r="H269" s="93"/>
      <c r="I269" s="41"/>
      <c r="J269" s="47"/>
      <c r="K269" s="5"/>
      <c r="L269" s="93"/>
      <c r="M269" s="40"/>
      <c r="N269" s="47"/>
      <c r="O269" s="5"/>
      <c r="P269" s="93"/>
      <c r="Q269" s="40"/>
      <c r="R269" s="47"/>
      <c r="S269" s="5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  <c r="EB269" s="48"/>
      <c r="EC269" s="48"/>
      <c r="ED269" s="48"/>
      <c r="EE269" s="48"/>
      <c r="EF269" s="48"/>
      <c r="EG269" s="48"/>
      <c r="EH269" s="48"/>
      <c r="EI269" s="48"/>
      <c r="EJ269" s="48"/>
      <c r="EK269" s="48"/>
      <c r="EL269" s="48"/>
      <c r="EM269" s="48"/>
      <c r="EN269" s="48"/>
      <c r="EO269" s="48"/>
      <c r="EP269" s="48"/>
      <c r="EQ269" s="48"/>
      <c r="ER269" s="48"/>
      <c r="ES269" s="48"/>
      <c r="ET269" s="48"/>
      <c r="EU269" s="48"/>
      <c r="EV269" s="48"/>
      <c r="EW269" s="48"/>
      <c r="EX269" s="48"/>
      <c r="EY269" s="48"/>
      <c r="EZ269" s="48"/>
      <c r="FA269" s="48"/>
      <c r="FB269" s="48"/>
      <c r="FC269" s="48"/>
      <c r="FD269" s="48"/>
      <c r="FE269" s="48"/>
      <c r="FF269" s="48"/>
      <c r="FG269" s="48"/>
      <c r="FH269" s="48"/>
      <c r="FI269" s="48"/>
      <c r="FJ269" s="48"/>
      <c r="FK269" s="48"/>
      <c r="FL269" s="48"/>
      <c r="FM269" s="48"/>
      <c r="FN269" s="48"/>
      <c r="FO269" s="48"/>
      <c r="FP269" s="48"/>
      <c r="FQ269" s="48"/>
      <c r="FR269" s="48"/>
      <c r="FS269" s="48"/>
      <c r="FT269" s="48"/>
      <c r="FU269" s="48"/>
      <c r="FV269" s="48"/>
      <c r="FW269" s="48"/>
      <c r="FX269" s="48"/>
      <c r="FY269" s="48"/>
      <c r="FZ269" s="48"/>
      <c r="GA269" s="48"/>
      <c r="GB269" s="48"/>
      <c r="GC269" s="48"/>
      <c r="GD269" s="48"/>
      <c r="GE269" s="48"/>
      <c r="GF269" s="48"/>
      <c r="GG269" s="48"/>
      <c r="GH269" s="48"/>
      <c r="GI269" s="48"/>
      <c r="GJ269" s="48"/>
      <c r="GK269" s="48"/>
      <c r="GL269" s="48"/>
      <c r="GM269" s="48"/>
      <c r="GN269" s="48"/>
      <c r="GO269" s="48"/>
      <c r="GP269" s="48"/>
      <c r="GQ269" s="48"/>
      <c r="GR269" s="48"/>
      <c r="GS269" s="48"/>
      <c r="GT269" s="48"/>
      <c r="GU269" s="48"/>
      <c r="GV269" s="48"/>
      <c r="GW269" s="48"/>
      <c r="GX269" s="48"/>
      <c r="GY269" s="48"/>
      <c r="GZ269" s="48"/>
      <c r="HA269" s="48"/>
      <c r="HB269" s="48"/>
      <c r="HC269" s="48"/>
      <c r="HD269" s="48"/>
      <c r="HE269" s="48"/>
      <c r="HF269" s="48"/>
      <c r="HG269" s="48"/>
      <c r="HH269" s="48"/>
      <c r="HI269" s="48"/>
      <c r="HJ269" s="48"/>
      <c r="HK269" s="48"/>
      <c r="HL269" s="48"/>
      <c r="HM269" s="48"/>
      <c r="HN269" s="48"/>
      <c r="HO269" s="48"/>
      <c r="HP269" s="48"/>
      <c r="HQ269" s="48"/>
      <c r="HR269" s="48"/>
      <c r="HS269" s="48"/>
      <c r="HT269" s="48"/>
      <c r="HU269" s="48"/>
      <c r="HV269" s="48"/>
      <c r="HW269" s="48"/>
      <c r="HX269" s="48"/>
      <c r="HY269" s="48"/>
      <c r="HZ269" s="48"/>
      <c r="IA269" s="48"/>
      <c r="IB269" s="48"/>
      <c r="IC269" s="48"/>
      <c r="ID269" s="48"/>
      <c r="IE269" s="48"/>
      <c r="IF269" s="48"/>
      <c r="IG269" s="48"/>
      <c r="IH269" s="48"/>
      <c r="II269" s="48"/>
      <c r="IJ269" s="48"/>
      <c r="IK269" s="48"/>
      <c r="IL269" s="48"/>
      <c r="IM269" s="48"/>
      <c r="IN269" s="48"/>
      <c r="IO269" s="48"/>
      <c r="IP269" s="48"/>
      <c r="IQ269" s="48"/>
      <c r="IR269" s="48"/>
      <c r="IS269" s="48"/>
      <c r="IT269" s="48"/>
    </row>
    <row r="270" spans="1:254" s="112" customFormat="1" ht="14.25" customHeight="1">
      <c r="A270" s="115"/>
      <c r="B270" s="115"/>
      <c r="C270" s="115"/>
      <c r="D270" s="17"/>
      <c r="E270" s="41"/>
      <c r="F270" s="17"/>
      <c r="G270" s="6"/>
      <c r="H270" s="17"/>
      <c r="I270" s="41"/>
      <c r="J270" s="47"/>
      <c r="K270" s="5"/>
      <c r="L270" s="47"/>
      <c r="M270" s="40"/>
      <c r="N270" s="47"/>
      <c r="O270" s="5"/>
      <c r="P270" s="47"/>
      <c r="Q270" s="40"/>
      <c r="R270" s="47"/>
      <c r="S270" s="5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48"/>
      <c r="ED270" s="48"/>
      <c r="EE270" s="48"/>
      <c r="EF270" s="48"/>
      <c r="EG270" s="48"/>
      <c r="EH270" s="48"/>
      <c r="EI270" s="48"/>
      <c r="EJ270" s="48"/>
      <c r="EK270" s="48"/>
      <c r="EL270" s="48"/>
      <c r="EM270" s="48"/>
      <c r="EN270" s="48"/>
      <c r="EO270" s="48"/>
      <c r="EP270" s="48"/>
      <c r="EQ270" s="48"/>
      <c r="ER270" s="48"/>
      <c r="ES270" s="48"/>
      <c r="ET270" s="48"/>
      <c r="EU270" s="48"/>
      <c r="EV270" s="48"/>
      <c r="EW270" s="48"/>
      <c r="EX270" s="48"/>
      <c r="EY270" s="48"/>
      <c r="EZ270" s="48"/>
      <c r="FA270" s="48"/>
      <c r="FB270" s="48"/>
      <c r="FC270" s="48"/>
      <c r="FD270" s="48"/>
      <c r="FE270" s="48"/>
      <c r="FF270" s="48"/>
      <c r="FG270" s="48"/>
      <c r="FH270" s="48"/>
      <c r="FI270" s="48"/>
      <c r="FJ270" s="48"/>
      <c r="FK270" s="48"/>
      <c r="FL270" s="48"/>
      <c r="FM270" s="48"/>
      <c r="FN270" s="48"/>
      <c r="FO270" s="48"/>
      <c r="FP270" s="48"/>
      <c r="FQ270" s="48"/>
      <c r="FR270" s="48"/>
      <c r="FS270" s="48"/>
      <c r="FT270" s="48"/>
      <c r="FU270" s="48"/>
      <c r="FV270" s="48"/>
      <c r="FW270" s="48"/>
      <c r="FX270" s="48"/>
      <c r="FY270" s="48"/>
      <c r="FZ270" s="48"/>
      <c r="GA270" s="48"/>
      <c r="GB270" s="48"/>
      <c r="GC270" s="48"/>
      <c r="GD270" s="48"/>
      <c r="GE270" s="48"/>
      <c r="GF270" s="48"/>
      <c r="GG270" s="48"/>
      <c r="GH270" s="48"/>
      <c r="GI270" s="48"/>
      <c r="GJ270" s="48"/>
      <c r="GK270" s="48"/>
      <c r="GL270" s="48"/>
      <c r="GM270" s="48"/>
      <c r="GN270" s="48"/>
      <c r="GO270" s="48"/>
      <c r="GP270" s="48"/>
      <c r="GQ270" s="48"/>
      <c r="GR270" s="48"/>
      <c r="GS270" s="48"/>
      <c r="GT270" s="48"/>
      <c r="GU270" s="48"/>
      <c r="GV270" s="48"/>
      <c r="GW270" s="48"/>
      <c r="GX270" s="48"/>
      <c r="GY270" s="48"/>
      <c r="GZ270" s="48"/>
      <c r="HA270" s="48"/>
      <c r="HB270" s="48"/>
      <c r="HC270" s="48"/>
      <c r="HD270" s="48"/>
      <c r="HE270" s="48"/>
      <c r="HF270" s="48"/>
      <c r="HG270" s="48"/>
      <c r="HH270" s="48"/>
      <c r="HI270" s="48"/>
      <c r="HJ270" s="48"/>
      <c r="HK270" s="48"/>
      <c r="HL270" s="48"/>
      <c r="HM270" s="48"/>
      <c r="HN270" s="48"/>
      <c r="HO270" s="48"/>
      <c r="HP270" s="48"/>
      <c r="HQ270" s="48"/>
      <c r="HR270" s="48"/>
      <c r="HS270" s="48"/>
      <c r="HT270" s="48"/>
      <c r="HU270" s="48"/>
      <c r="HV270" s="48"/>
      <c r="HW270" s="48"/>
      <c r="HX270" s="48"/>
      <c r="HY270" s="48"/>
      <c r="HZ270" s="48"/>
      <c r="IA270" s="48"/>
      <c r="IB270" s="48"/>
      <c r="IC270" s="48"/>
      <c r="ID270" s="48"/>
      <c r="IE270" s="48"/>
      <c r="IF270" s="48"/>
      <c r="IG270" s="48"/>
      <c r="IH270" s="48"/>
      <c r="II270" s="48"/>
      <c r="IJ270" s="48"/>
      <c r="IK270" s="48"/>
      <c r="IL270" s="48"/>
      <c r="IM270" s="48"/>
      <c r="IN270" s="48"/>
      <c r="IO270" s="48"/>
      <c r="IP270" s="48"/>
      <c r="IQ270" s="48"/>
      <c r="IR270" s="48"/>
      <c r="IS270" s="48"/>
      <c r="IT270" s="48"/>
    </row>
    <row r="271" spans="1:254" s="112" customFormat="1" ht="14.25" customHeight="1">
      <c r="A271" s="115"/>
      <c r="B271" s="115"/>
      <c r="C271" s="115"/>
      <c r="D271" s="17"/>
      <c r="E271" s="41"/>
      <c r="F271" s="17"/>
      <c r="G271" s="6"/>
      <c r="H271" s="17"/>
      <c r="I271" s="41"/>
      <c r="J271" s="47"/>
      <c r="K271" s="5"/>
      <c r="L271" s="47"/>
      <c r="M271" s="40"/>
      <c r="N271" s="47"/>
      <c r="O271" s="5"/>
      <c r="P271" s="47"/>
      <c r="Q271" s="40"/>
      <c r="R271" s="47"/>
      <c r="S271" s="5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  <c r="EB271" s="48"/>
      <c r="EC271" s="48"/>
      <c r="ED271" s="48"/>
      <c r="EE271" s="48"/>
      <c r="EF271" s="48"/>
      <c r="EG271" s="48"/>
      <c r="EH271" s="48"/>
      <c r="EI271" s="48"/>
      <c r="EJ271" s="48"/>
      <c r="EK271" s="48"/>
      <c r="EL271" s="48"/>
      <c r="EM271" s="48"/>
      <c r="EN271" s="48"/>
      <c r="EO271" s="48"/>
      <c r="EP271" s="48"/>
      <c r="EQ271" s="48"/>
      <c r="ER271" s="48"/>
      <c r="ES271" s="48"/>
      <c r="ET271" s="48"/>
      <c r="EU271" s="48"/>
      <c r="EV271" s="48"/>
      <c r="EW271" s="48"/>
      <c r="EX271" s="48"/>
      <c r="EY271" s="48"/>
      <c r="EZ271" s="48"/>
      <c r="FA271" s="48"/>
      <c r="FB271" s="48"/>
      <c r="FC271" s="48"/>
      <c r="FD271" s="48"/>
      <c r="FE271" s="48"/>
      <c r="FF271" s="48"/>
      <c r="FG271" s="48"/>
      <c r="FH271" s="48"/>
      <c r="FI271" s="48"/>
      <c r="FJ271" s="48"/>
      <c r="FK271" s="48"/>
      <c r="FL271" s="48"/>
      <c r="FM271" s="48"/>
      <c r="FN271" s="48"/>
      <c r="FO271" s="48"/>
      <c r="FP271" s="48"/>
      <c r="FQ271" s="48"/>
      <c r="FR271" s="48"/>
      <c r="FS271" s="48"/>
      <c r="FT271" s="48"/>
      <c r="FU271" s="48"/>
      <c r="FV271" s="48"/>
      <c r="FW271" s="48"/>
      <c r="FX271" s="48"/>
      <c r="FY271" s="48"/>
      <c r="FZ271" s="48"/>
      <c r="GA271" s="48"/>
      <c r="GB271" s="48"/>
      <c r="GC271" s="48"/>
      <c r="GD271" s="48"/>
      <c r="GE271" s="48"/>
      <c r="GF271" s="48"/>
      <c r="GG271" s="48"/>
      <c r="GH271" s="48"/>
      <c r="GI271" s="48"/>
      <c r="GJ271" s="48"/>
      <c r="GK271" s="48"/>
      <c r="GL271" s="48"/>
      <c r="GM271" s="48"/>
      <c r="GN271" s="48"/>
      <c r="GO271" s="48"/>
      <c r="GP271" s="48"/>
      <c r="GQ271" s="48"/>
      <c r="GR271" s="48"/>
      <c r="GS271" s="48"/>
      <c r="GT271" s="48"/>
      <c r="GU271" s="48"/>
      <c r="GV271" s="48"/>
      <c r="GW271" s="48"/>
      <c r="GX271" s="48"/>
      <c r="GY271" s="48"/>
      <c r="GZ271" s="48"/>
      <c r="HA271" s="48"/>
      <c r="HB271" s="48"/>
      <c r="HC271" s="48"/>
      <c r="HD271" s="48"/>
      <c r="HE271" s="48"/>
      <c r="HF271" s="48"/>
      <c r="HG271" s="48"/>
      <c r="HH271" s="48"/>
      <c r="HI271" s="48"/>
      <c r="HJ271" s="48"/>
      <c r="HK271" s="48"/>
      <c r="HL271" s="48"/>
      <c r="HM271" s="48"/>
      <c r="HN271" s="48"/>
      <c r="HO271" s="48"/>
      <c r="HP271" s="48"/>
      <c r="HQ271" s="48"/>
      <c r="HR271" s="48"/>
      <c r="HS271" s="48"/>
      <c r="HT271" s="48"/>
      <c r="HU271" s="48"/>
      <c r="HV271" s="48"/>
      <c r="HW271" s="48"/>
      <c r="HX271" s="48"/>
      <c r="HY271" s="48"/>
      <c r="HZ271" s="48"/>
      <c r="IA271" s="48"/>
      <c r="IB271" s="48"/>
      <c r="IC271" s="48"/>
      <c r="ID271" s="48"/>
      <c r="IE271" s="48"/>
      <c r="IF271" s="48"/>
      <c r="IG271" s="48"/>
      <c r="IH271" s="48"/>
      <c r="II271" s="48"/>
      <c r="IJ271" s="48"/>
      <c r="IK271" s="48"/>
      <c r="IL271" s="48"/>
      <c r="IM271" s="48"/>
      <c r="IN271" s="48"/>
      <c r="IO271" s="48"/>
      <c r="IP271" s="48"/>
      <c r="IQ271" s="48"/>
      <c r="IR271" s="48"/>
      <c r="IS271" s="48"/>
      <c r="IT271" s="48"/>
    </row>
    <row r="272" spans="1:254" s="112" customFormat="1" ht="14.25" customHeight="1">
      <c r="A272" s="115"/>
      <c r="B272" s="115"/>
      <c r="C272" s="115"/>
      <c r="D272" s="17"/>
      <c r="E272" s="41"/>
      <c r="F272" s="17"/>
      <c r="G272" s="6"/>
      <c r="H272" s="17"/>
      <c r="I272" s="41"/>
      <c r="J272" s="47"/>
      <c r="K272" s="5"/>
      <c r="L272" s="47"/>
      <c r="M272" s="40"/>
      <c r="N272" s="47"/>
      <c r="O272" s="5"/>
      <c r="P272" s="47"/>
      <c r="Q272" s="40"/>
      <c r="R272" s="47"/>
      <c r="S272" s="5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  <c r="EB272" s="48"/>
      <c r="EC272" s="48"/>
      <c r="ED272" s="48"/>
      <c r="EE272" s="48"/>
      <c r="EF272" s="48"/>
      <c r="EG272" s="48"/>
      <c r="EH272" s="48"/>
      <c r="EI272" s="48"/>
      <c r="EJ272" s="48"/>
      <c r="EK272" s="48"/>
      <c r="EL272" s="48"/>
      <c r="EM272" s="48"/>
      <c r="EN272" s="48"/>
      <c r="EO272" s="48"/>
      <c r="EP272" s="48"/>
      <c r="EQ272" s="48"/>
      <c r="ER272" s="48"/>
      <c r="ES272" s="48"/>
      <c r="ET272" s="48"/>
      <c r="EU272" s="48"/>
      <c r="EV272" s="48"/>
      <c r="EW272" s="48"/>
      <c r="EX272" s="48"/>
      <c r="EY272" s="48"/>
      <c r="EZ272" s="48"/>
      <c r="FA272" s="48"/>
      <c r="FB272" s="48"/>
      <c r="FC272" s="48"/>
      <c r="FD272" s="48"/>
      <c r="FE272" s="48"/>
      <c r="FF272" s="48"/>
      <c r="FG272" s="48"/>
      <c r="FH272" s="48"/>
      <c r="FI272" s="48"/>
      <c r="FJ272" s="48"/>
      <c r="FK272" s="48"/>
      <c r="FL272" s="48"/>
      <c r="FM272" s="48"/>
      <c r="FN272" s="48"/>
      <c r="FO272" s="48"/>
      <c r="FP272" s="48"/>
      <c r="FQ272" s="48"/>
      <c r="FR272" s="48"/>
      <c r="FS272" s="48"/>
      <c r="FT272" s="48"/>
      <c r="FU272" s="48"/>
      <c r="FV272" s="48"/>
      <c r="FW272" s="48"/>
      <c r="FX272" s="48"/>
      <c r="FY272" s="48"/>
      <c r="FZ272" s="48"/>
      <c r="GA272" s="48"/>
      <c r="GB272" s="48"/>
      <c r="GC272" s="48"/>
      <c r="GD272" s="48"/>
      <c r="GE272" s="48"/>
      <c r="GF272" s="48"/>
      <c r="GG272" s="48"/>
      <c r="GH272" s="48"/>
      <c r="GI272" s="48"/>
      <c r="GJ272" s="48"/>
      <c r="GK272" s="48"/>
      <c r="GL272" s="48"/>
      <c r="GM272" s="48"/>
      <c r="GN272" s="48"/>
      <c r="GO272" s="48"/>
      <c r="GP272" s="48"/>
      <c r="GQ272" s="48"/>
      <c r="GR272" s="48"/>
      <c r="GS272" s="48"/>
      <c r="GT272" s="48"/>
      <c r="GU272" s="48"/>
      <c r="GV272" s="48"/>
      <c r="GW272" s="48"/>
      <c r="GX272" s="48"/>
      <c r="GY272" s="48"/>
      <c r="GZ272" s="48"/>
      <c r="HA272" s="48"/>
      <c r="HB272" s="48"/>
      <c r="HC272" s="48"/>
      <c r="HD272" s="48"/>
      <c r="HE272" s="48"/>
      <c r="HF272" s="48"/>
      <c r="HG272" s="48"/>
      <c r="HH272" s="48"/>
      <c r="HI272" s="48"/>
      <c r="HJ272" s="48"/>
      <c r="HK272" s="48"/>
      <c r="HL272" s="48"/>
      <c r="HM272" s="48"/>
      <c r="HN272" s="48"/>
      <c r="HO272" s="48"/>
      <c r="HP272" s="48"/>
      <c r="HQ272" s="48"/>
      <c r="HR272" s="48"/>
      <c r="HS272" s="48"/>
      <c r="HT272" s="48"/>
      <c r="HU272" s="48"/>
      <c r="HV272" s="48"/>
      <c r="HW272" s="48"/>
      <c r="HX272" s="48"/>
      <c r="HY272" s="48"/>
      <c r="HZ272" s="48"/>
      <c r="IA272" s="48"/>
      <c r="IB272" s="48"/>
      <c r="IC272" s="48"/>
      <c r="ID272" s="48"/>
      <c r="IE272" s="48"/>
      <c r="IF272" s="48"/>
      <c r="IG272" s="48"/>
      <c r="IH272" s="48"/>
      <c r="II272" s="48"/>
      <c r="IJ272" s="48"/>
      <c r="IK272" s="48"/>
      <c r="IL272" s="48"/>
      <c r="IM272" s="48"/>
      <c r="IN272" s="48"/>
      <c r="IO272" s="48"/>
      <c r="IP272" s="48"/>
      <c r="IQ272" s="48"/>
      <c r="IR272" s="48"/>
      <c r="IS272" s="48"/>
      <c r="IT272" s="48"/>
    </row>
    <row r="273" spans="1:254" s="112" customFormat="1" ht="14.25" customHeight="1">
      <c r="A273" s="115"/>
      <c r="B273" s="115"/>
      <c r="C273" s="115"/>
      <c r="D273" s="17"/>
      <c r="E273" s="41"/>
      <c r="F273" s="17"/>
      <c r="G273" s="6"/>
      <c r="H273" s="17"/>
      <c r="I273" s="41"/>
      <c r="J273" s="47"/>
      <c r="K273" s="5"/>
      <c r="L273" s="47"/>
      <c r="M273" s="40"/>
      <c r="N273" s="47"/>
      <c r="O273" s="5"/>
      <c r="P273" s="47"/>
      <c r="Q273" s="40"/>
      <c r="R273" s="47"/>
      <c r="S273" s="5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  <c r="EB273" s="48"/>
      <c r="EC273" s="48"/>
      <c r="ED273" s="48"/>
      <c r="EE273" s="48"/>
      <c r="EF273" s="48"/>
      <c r="EG273" s="48"/>
      <c r="EH273" s="48"/>
      <c r="EI273" s="48"/>
      <c r="EJ273" s="48"/>
      <c r="EK273" s="48"/>
      <c r="EL273" s="48"/>
      <c r="EM273" s="48"/>
      <c r="EN273" s="48"/>
      <c r="EO273" s="48"/>
      <c r="EP273" s="48"/>
      <c r="EQ273" s="48"/>
      <c r="ER273" s="48"/>
      <c r="ES273" s="48"/>
      <c r="ET273" s="48"/>
      <c r="EU273" s="48"/>
      <c r="EV273" s="48"/>
      <c r="EW273" s="48"/>
      <c r="EX273" s="48"/>
      <c r="EY273" s="48"/>
      <c r="EZ273" s="48"/>
      <c r="FA273" s="48"/>
      <c r="FB273" s="48"/>
      <c r="FC273" s="48"/>
      <c r="FD273" s="48"/>
      <c r="FE273" s="48"/>
      <c r="FF273" s="48"/>
      <c r="FG273" s="48"/>
      <c r="FH273" s="48"/>
      <c r="FI273" s="48"/>
      <c r="FJ273" s="48"/>
      <c r="FK273" s="48"/>
      <c r="FL273" s="48"/>
      <c r="FM273" s="48"/>
      <c r="FN273" s="48"/>
      <c r="FO273" s="48"/>
      <c r="FP273" s="48"/>
      <c r="FQ273" s="48"/>
      <c r="FR273" s="48"/>
      <c r="FS273" s="48"/>
      <c r="FT273" s="48"/>
      <c r="FU273" s="48"/>
      <c r="FV273" s="48"/>
      <c r="FW273" s="48"/>
      <c r="FX273" s="48"/>
      <c r="FY273" s="48"/>
      <c r="FZ273" s="48"/>
      <c r="GA273" s="48"/>
      <c r="GB273" s="48"/>
      <c r="GC273" s="48"/>
      <c r="GD273" s="48"/>
      <c r="GE273" s="48"/>
      <c r="GF273" s="48"/>
      <c r="GG273" s="48"/>
      <c r="GH273" s="48"/>
      <c r="GI273" s="48"/>
      <c r="GJ273" s="48"/>
      <c r="GK273" s="48"/>
      <c r="GL273" s="48"/>
      <c r="GM273" s="48"/>
      <c r="GN273" s="48"/>
      <c r="GO273" s="48"/>
      <c r="GP273" s="48"/>
      <c r="GQ273" s="48"/>
      <c r="GR273" s="48"/>
      <c r="GS273" s="48"/>
      <c r="GT273" s="48"/>
      <c r="GU273" s="48"/>
      <c r="GV273" s="48"/>
      <c r="GW273" s="48"/>
      <c r="GX273" s="48"/>
      <c r="GY273" s="48"/>
      <c r="GZ273" s="48"/>
      <c r="HA273" s="48"/>
      <c r="HB273" s="48"/>
      <c r="HC273" s="48"/>
      <c r="HD273" s="48"/>
      <c r="HE273" s="48"/>
      <c r="HF273" s="48"/>
      <c r="HG273" s="48"/>
      <c r="HH273" s="48"/>
      <c r="HI273" s="48"/>
      <c r="HJ273" s="48"/>
      <c r="HK273" s="48"/>
      <c r="HL273" s="48"/>
      <c r="HM273" s="48"/>
      <c r="HN273" s="48"/>
      <c r="HO273" s="48"/>
      <c r="HP273" s="48"/>
      <c r="HQ273" s="48"/>
      <c r="HR273" s="48"/>
      <c r="HS273" s="48"/>
      <c r="HT273" s="48"/>
      <c r="HU273" s="48"/>
      <c r="HV273" s="48"/>
      <c r="HW273" s="48"/>
      <c r="HX273" s="48"/>
      <c r="HY273" s="48"/>
      <c r="HZ273" s="48"/>
      <c r="IA273" s="48"/>
      <c r="IB273" s="48"/>
      <c r="IC273" s="48"/>
      <c r="ID273" s="48"/>
      <c r="IE273" s="48"/>
      <c r="IF273" s="48"/>
      <c r="IG273" s="48"/>
      <c r="IH273" s="48"/>
      <c r="II273" s="48"/>
      <c r="IJ273" s="48"/>
      <c r="IK273" s="48"/>
      <c r="IL273" s="48"/>
      <c r="IM273" s="48"/>
      <c r="IN273" s="48"/>
      <c r="IO273" s="48"/>
      <c r="IP273" s="48"/>
      <c r="IQ273" s="48"/>
      <c r="IR273" s="48"/>
      <c r="IS273" s="48"/>
      <c r="IT273" s="48"/>
    </row>
    <row r="274" spans="1:254" s="112" customFormat="1" ht="14.25" customHeight="1">
      <c r="A274" s="115"/>
      <c r="B274" s="115"/>
      <c r="C274" s="115"/>
      <c r="D274" s="17"/>
      <c r="E274" s="41"/>
      <c r="F274" s="17"/>
      <c r="G274" s="6"/>
      <c r="H274" s="17"/>
      <c r="I274" s="41"/>
      <c r="J274" s="47"/>
      <c r="K274" s="5"/>
      <c r="L274" s="47"/>
      <c r="M274" s="40"/>
      <c r="N274" s="47"/>
      <c r="O274" s="5"/>
      <c r="P274" s="47"/>
      <c r="Q274" s="40"/>
      <c r="R274" s="47"/>
      <c r="S274" s="5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  <c r="EB274" s="48"/>
      <c r="EC274" s="48"/>
      <c r="ED274" s="48"/>
      <c r="EE274" s="48"/>
      <c r="EF274" s="48"/>
      <c r="EG274" s="48"/>
      <c r="EH274" s="48"/>
      <c r="EI274" s="48"/>
      <c r="EJ274" s="48"/>
      <c r="EK274" s="48"/>
      <c r="EL274" s="48"/>
      <c r="EM274" s="48"/>
      <c r="EN274" s="48"/>
      <c r="EO274" s="48"/>
      <c r="EP274" s="48"/>
      <c r="EQ274" s="48"/>
      <c r="ER274" s="48"/>
      <c r="ES274" s="48"/>
      <c r="ET274" s="48"/>
      <c r="EU274" s="48"/>
      <c r="EV274" s="48"/>
      <c r="EW274" s="48"/>
      <c r="EX274" s="48"/>
      <c r="EY274" s="48"/>
      <c r="EZ274" s="48"/>
      <c r="FA274" s="48"/>
      <c r="FB274" s="48"/>
      <c r="FC274" s="48"/>
      <c r="FD274" s="48"/>
      <c r="FE274" s="48"/>
      <c r="FF274" s="48"/>
      <c r="FG274" s="48"/>
      <c r="FH274" s="48"/>
      <c r="FI274" s="48"/>
      <c r="FJ274" s="48"/>
      <c r="FK274" s="48"/>
      <c r="FL274" s="48"/>
      <c r="FM274" s="48"/>
      <c r="FN274" s="48"/>
      <c r="FO274" s="48"/>
      <c r="FP274" s="48"/>
      <c r="FQ274" s="48"/>
      <c r="FR274" s="48"/>
      <c r="FS274" s="48"/>
      <c r="FT274" s="48"/>
      <c r="FU274" s="48"/>
      <c r="FV274" s="48"/>
      <c r="FW274" s="48"/>
      <c r="FX274" s="48"/>
      <c r="FY274" s="48"/>
      <c r="FZ274" s="48"/>
      <c r="GA274" s="48"/>
      <c r="GB274" s="48"/>
      <c r="GC274" s="48"/>
      <c r="GD274" s="48"/>
      <c r="GE274" s="48"/>
      <c r="GF274" s="48"/>
      <c r="GG274" s="48"/>
      <c r="GH274" s="48"/>
      <c r="GI274" s="48"/>
      <c r="GJ274" s="48"/>
      <c r="GK274" s="48"/>
      <c r="GL274" s="48"/>
      <c r="GM274" s="48"/>
      <c r="GN274" s="48"/>
      <c r="GO274" s="48"/>
      <c r="GP274" s="48"/>
      <c r="GQ274" s="48"/>
      <c r="GR274" s="48"/>
      <c r="GS274" s="48"/>
      <c r="GT274" s="48"/>
      <c r="GU274" s="48"/>
      <c r="GV274" s="48"/>
      <c r="GW274" s="48"/>
      <c r="GX274" s="48"/>
      <c r="GY274" s="48"/>
      <c r="GZ274" s="48"/>
      <c r="HA274" s="48"/>
      <c r="HB274" s="48"/>
      <c r="HC274" s="48"/>
      <c r="HD274" s="48"/>
      <c r="HE274" s="48"/>
      <c r="HF274" s="48"/>
      <c r="HG274" s="48"/>
      <c r="HH274" s="48"/>
      <c r="HI274" s="48"/>
      <c r="HJ274" s="48"/>
      <c r="HK274" s="48"/>
      <c r="HL274" s="48"/>
      <c r="HM274" s="48"/>
      <c r="HN274" s="48"/>
      <c r="HO274" s="48"/>
      <c r="HP274" s="48"/>
      <c r="HQ274" s="48"/>
      <c r="HR274" s="48"/>
      <c r="HS274" s="48"/>
      <c r="HT274" s="48"/>
      <c r="HU274" s="48"/>
      <c r="HV274" s="48"/>
      <c r="HW274" s="48"/>
      <c r="HX274" s="48"/>
      <c r="HY274" s="48"/>
      <c r="HZ274" s="48"/>
      <c r="IA274" s="48"/>
      <c r="IB274" s="48"/>
      <c r="IC274" s="48"/>
      <c r="ID274" s="48"/>
      <c r="IE274" s="48"/>
      <c r="IF274" s="48"/>
      <c r="IG274" s="48"/>
      <c r="IH274" s="48"/>
      <c r="II274" s="48"/>
      <c r="IJ274" s="48"/>
      <c r="IK274" s="48"/>
      <c r="IL274" s="48"/>
      <c r="IM274" s="48"/>
      <c r="IN274" s="48"/>
      <c r="IO274" s="48"/>
      <c r="IP274" s="48"/>
      <c r="IQ274" s="48"/>
      <c r="IR274" s="48"/>
      <c r="IS274" s="48"/>
      <c r="IT274" s="48"/>
    </row>
    <row r="275" spans="1:254" s="112" customFormat="1" ht="14.25" customHeight="1">
      <c r="A275" s="115"/>
      <c r="B275" s="115"/>
      <c r="C275" s="115"/>
      <c r="D275" s="17"/>
      <c r="E275" s="41"/>
      <c r="F275" s="17"/>
      <c r="G275" s="6"/>
      <c r="H275" s="17"/>
      <c r="I275" s="41"/>
      <c r="J275" s="47"/>
      <c r="K275" s="5"/>
      <c r="L275" s="47"/>
      <c r="M275" s="40"/>
      <c r="N275" s="47"/>
      <c r="O275" s="5"/>
      <c r="P275" s="47"/>
      <c r="Q275" s="40"/>
      <c r="R275" s="47"/>
      <c r="S275" s="5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  <c r="EH275" s="48"/>
      <c r="EI275" s="48"/>
      <c r="EJ275" s="48"/>
      <c r="EK275" s="48"/>
      <c r="EL275" s="48"/>
      <c r="EM275" s="48"/>
      <c r="EN275" s="48"/>
      <c r="EO275" s="48"/>
      <c r="EP275" s="48"/>
      <c r="EQ275" s="48"/>
      <c r="ER275" s="48"/>
      <c r="ES275" s="48"/>
      <c r="ET275" s="48"/>
      <c r="EU275" s="48"/>
      <c r="EV275" s="48"/>
      <c r="EW275" s="48"/>
      <c r="EX275" s="48"/>
      <c r="EY275" s="48"/>
      <c r="EZ275" s="48"/>
      <c r="FA275" s="48"/>
      <c r="FB275" s="48"/>
      <c r="FC275" s="48"/>
      <c r="FD275" s="48"/>
      <c r="FE275" s="48"/>
      <c r="FF275" s="48"/>
      <c r="FG275" s="48"/>
      <c r="FH275" s="48"/>
      <c r="FI275" s="48"/>
      <c r="FJ275" s="48"/>
      <c r="FK275" s="48"/>
      <c r="FL275" s="48"/>
      <c r="FM275" s="48"/>
      <c r="FN275" s="48"/>
      <c r="FO275" s="48"/>
      <c r="FP275" s="48"/>
      <c r="FQ275" s="48"/>
      <c r="FR275" s="48"/>
      <c r="FS275" s="48"/>
      <c r="FT275" s="48"/>
      <c r="FU275" s="48"/>
      <c r="FV275" s="48"/>
      <c r="FW275" s="48"/>
      <c r="FX275" s="48"/>
      <c r="FY275" s="48"/>
      <c r="FZ275" s="48"/>
      <c r="GA275" s="48"/>
      <c r="GB275" s="48"/>
      <c r="GC275" s="48"/>
      <c r="GD275" s="48"/>
      <c r="GE275" s="48"/>
      <c r="GF275" s="48"/>
      <c r="GG275" s="48"/>
      <c r="GH275" s="48"/>
      <c r="GI275" s="48"/>
      <c r="GJ275" s="48"/>
      <c r="GK275" s="48"/>
      <c r="GL275" s="48"/>
      <c r="GM275" s="48"/>
      <c r="GN275" s="48"/>
      <c r="GO275" s="48"/>
      <c r="GP275" s="48"/>
      <c r="GQ275" s="48"/>
      <c r="GR275" s="48"/>
      <c r="GS275" s="48"/>
      <c r="GT275" s="48"/>
      <c r="GU275" s="48"/>
      <c r="GV275" s="48"/>
      <c r="GW275" s="48"/>
      <c r="GX275" s="48"/>
      <c r="GY275" s="48"/>
      <c r="GZ275" s="48"/>
      <c r="HA275" s="48"/>
      <c r="HB275" s="48"/>
      <c r="HC275" s="48"/>
      <c r="HD275" s="48"/>
      <c r="HE275" s="48"/>
      <c r="HF275" s="48"/>
      <c r="HG275" s="48"/>
      <c r="HH275" s="48"/>
      <c r="HI275" s="48"/>
      <c r="HJ275" s="48"/>
      <c r="HK275" s="48"/>
      <c r="HL275" s="48"/>
      <c r="HM275" s="48"/>
      <c r="HN275" s="48"/>
      <c r="HO275" s="48"/>
      <c r="HP275" s="48"/>
      <c r="HQ275" s="48"/>
      <c r="HR275" s="48"/>
      <c r="HS275" s="48"/>
      <c r="HT275" s="48"/>
      <c r="HU275" s="48"/>
      <c r="HV275" s="48"/>
      <c r="HW275" s="48"/>
      <c r="HX275" s="48"/>
      <c r="HY275" s="48"/>
      <c r="HZ275" s="48"/>
      <c r="IA275" s="48"/>
      <c r="IB275" s="48"/>
      <c r="IC275" s="48"/>
      <c r="ID275" s="48"/>
      <c r="IE275" s="48"/>
      <c r="IF275" s="48"/>
      <c r="IG275" s="48"/>
      <c r="IH275" s="48"/>
      <c r="II275" s="48"/>
      <c r="IJ275" s="48"/>
      <c r="IK275" s="48"/>
      <c r="IL275" s="48"/>
      <c r="IM275" s="48"/>
      <c r="IN275" s="48"/>
      <c r="IO275" s="48"/>
      <c r="IP275" s="48"/>
      <c r="IQ275" s="48"/>
      <c r="IR275" s="48"/>
      <c r="IS275" s="48"/>
      <c r="IT275" s="48"/>
    </row>
    <row r="276" ht="14.25" customHeight="1"/>
    <row r="277" ht="14.25" customHeight="1"/>
    <row r="278" ht="14.25" customHeight="1"/>
    <row r="279" ht="14.25" customHeight="1"/>
    <row r="280" spans="4:16" ht="14.25" customHeight="1">
      <c r="D280" s="72"/>
      <c r="L280" s="65"/>
      <c r="P280" s="65"/>
    </row>
    <row r="281" spans="4:16" ht="14.25" customHeight="1">
      <c r="D281" s="68"/>
      <c r="L281" s="65"/>
      <c r="P281" s="65"/>
    </row>
    <row r="282" spans="4:16" ht="14.25" customHeight="1">
      <c r="D282" s="68"/>
      <c r="L282" s="65"/>
      <c r="P282" s="65"/>
    </row>
    <row r="283" spans="4:16" ht="14.25" customHeight="1">
      <c r="D283" s="66"/>
      <c r="L283" s="66"/>
      <c r="P283" s="75"/>
    </row>
    <row r="284" spans="4:16" ht="14.25" customHeight="1">
      <c r="D284" s="66"/>
      <c r="L284" s="66"/>
      <c r="P284" s="75"/>
    </row>
    <row r="285" spans="4:16" ht="14.25" customHeight="1">
      <c r="D285" s="61"/>
      <c r="L285" s="61"/>
      <c r="P285" s="75"/>
    </row>
    <row r="286" spans="4:16" ht="14.25" customHeight="1">
      <c r="D286" s="61"/>
      <c r="L286" s="66"/>
      <c r="P286" s="75"/>
    </row>
    <row r="287" spans="4:16" ht="14.25" customHeight="1">
      <c r="D287" s="61"/>
      <c r="L287" s="66"/>
      <c r="P287" s="75"/>
    </row>
    <row r="288" spans="4:16" ht="14.25" customHeight="1">
      <c r="D288" s="61"/>
      <c r="L288" s="66"/>
      <c r="P288" s="75"/>
    </row>
    <row r="289" spans="4:16" ht="14.25" customHeight="1">
      <c r="D289" s="61"/>
      <c r="L289" s="66"/>
      <c r="P289" s="75"/>
    </row>
    <row r="290" spans="1:16" ht="14.25" customHeight="1">
      <c r="A290" s="74"/>
      <c r="B290" s="74"/>
      <c r="C290" s="74"/>
      <c r="D290" s="61"/>
      <c r="L290" s="66"/>
      <c r="P290" s="75"/>
    </row>
    <row r="291" spans="1:16" ht="14.25" customHeight="1">
      <c r="A291" s="64"/>
      <c r="B291" s="64"/>
      <c r="C291" s="64"/>
      <c r="D291" s="64"/>
      <c r="E291" s="64"/>
      <c r="F291" s="64"/>
      <c r="G291" s="64"/>
      <c r="H291" s="63"/>
      <c r="I291" s="63"/>
      <c r="J291" s="63"/>
      <c r="K291" s="63"/>
      <c r="L291" s="63"/>
      <c r="P291" s="62"/>
    </row>
    <row r="292" spans="1:16" ht="14.2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2"/>
      <c r="P292" s="62"/>
    </row>
    <row r="293" spans="1:19" ht="14.2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2"/>
      <c r="P293" s="62"/>
      <c r="Q293" s="62"/>
      <c r="R293" s="62"/>
      <c r="S293" s="62"/>
    </row>
    <row r="294" ht="14.25" customHeight="1"/>
    <row r="295" spans="4:16" ht="14.25" customHeight="1">
      <c r="D295" s="72"/>
      <c r="H295" s="65"/>
      <c r="L295" s="65"/>
      <c r="P295" s="65"/>
    </row>
    <row r="296" spans="4:16" ht="14.25" customHeight="1">
      <c r="D296" s="68"/>
      <c r="H296" s="65"/>
      <c r="L296" s="65"/>
      <c r="P296" s="65"/>
    </row>
    <row r="297" spans="4:16" ht="14.25">
      <c r="D297" s="68"/>
      <c r="H297" s="65"/>
      <c r="L297" s="65"/>
      <c r="P297" s="73"/>
    </row>
    <row r="298" spans="4:16" ht="14.25">
      <c r="D298" s="63"/>
      <c r="H298" s="63"/>
      <c r="L298" s="63"/>
      <c r="P298" s="62"/>
    </row>
    <row r="299" spans="4:16" ht="14.25">
      <c r="D299" s="64"/>
      <c r="H299" s="64"/>
      <c r="L299" s="64"/>
      <c r="P299" s="62"/>
    </row>
    <row r="300" spans="4:16" ht="14.25">
      <c r="D300" s="64"/>
      <c r="H300" s="64"/>
      <c r="L300" s="64"/>
      <c r="P300" s="62"/>
    </row>
    <row r="301" spans="4:16" ht="14.25">
      <c r="D301" s="64"/>
      <c r="H301" s="64"/>
      <c r="L301" s="64"/>
      <c r="P301" s="62"/>
    </row>
    <row r="302" spans="4:16" ht="14.25">
      <c r="D302" s="64"/>
      <c r="H302" s="64"/>
      <c r="L302" s="64"/>
      <c r="P302" s="62"/>
    </row>
    <row r="303" spans="4:16" ht="14.25">
      <c r="D303" s="64"/>
      <c r="H303" s="64"/>
      <c r="L303" s="64"/>
      <c r="P303" s="62"/>
    </row>
    <row r="304" spans="4:19" ht="14.25">
      <c r="D304" s="64"/>
      <c r="H304" s="64"/>
      <c r="L304" s="64"/>
      <c r="P304" s="62"/>
      <c r="Q304" s="62"/>
      <c r="R304" s="62"/>
      <c r="S304" s="62"/>
    </row>
    <row r="305" spans="4:19" ht="14.25">
      <c r="D305" s="64"/>
      <c r="H305" s="64"/>
      <c r="L305" s="64"/>
      <c r="P305" s="62"/>
      <c r="Q305" s="62"/>
      <c r="R305" s="62"/>
      <c r="S305" s="62"/>
    </row>
    <row r="306" spans="1:19" ht="14.25">
      <c r="A306" s="63"/>
      <c r="B306" s="63"/>
      <c r="C306" s="63"/>
      <c r="D306" s="64"/>
      <c r="E306" s="63"/>
      <c r="F306" s="63"/>
      <c r="G306" s="63"/>
      <c r="H306" s="64"/>
      <c r="I306" s="63"/>
      <c r="J306" s="63"/>
      <c r="K306" s="63"/>
      <c r="L306" s="64"/>
      <c r="M306" s="63"/>
      <c r="N306" s="63"/>
      <c r="O306" s="62"/>
      <c r="P306" s="62"/>
      <c r="Q306" s="62"/>
      <c r="R306" s="62"/>
      <c r="S306" s="62"/>
    </row>
    <row r="307" spans="1:19" ht="14.25">
      <c r="A307" s="64"/>
      <c r="B307" s="64"/>
      <c r="C307" s="64"/>
      <c r="D307" s="64"/>
      <c r="E307" s="63"/>
      <c r="F307" s="63"/>
      <c r="G307" s="63"/>
      <c r="H307" s="64"/>
      <c r="I307" s="63"/>
      <c r="J307" s="63"/>
      <c r="K307" s="63"/>
      <c r="L307" s="64"/>
      <c r="M307" s="63"/>
      <c r="N307" s="63"/>
      <c r="O307" s="62"/>
      <c r="P307" s="62"/>
      <c r="Q307" s="62"/>
      <c r="R307" s="62"/>
      <c r="S307" s="62"/>
    </row>
    <row r="308" spans="1:19" ht="14.25">
      <c r="A308" s="64"/>
      <c r="B308" s="64"/>
      <c r="C308" s="64"/>
      <c r="D308" s="64"/>
      <c r="E308" s="63"/>
      <c r="F308" s="63"/>
      <c r="G308" s="63"/>
      <c r="H308" s="64"/>
      <c r="I308" s="63"/>
      <c r="J308" s="63"/>
      <c r="K308" s="63"/>
      <c r="L308" s="64"/>
      <c r="M308" s="63"/>
      <c r="N308" s="63"/>
      <c r="O308" s="62"/>
      <c r="P308" s="62"/>
      <c r="Q308" s="62"/>
      <c r="R308" s="62"/>
      <c r="S308" s="62"/>
    </row>
    <row r="310" spans="4:16" ht="14.25">
      <c r="D310" s="72"/>
      <c r="H310" s="65"/>
      <c r="L310" s="65"/>
      <c r="P310" s="64"/>
    </row>
    <row r="311" spans="4:16" ht="14.25">
      <c r="D311" s="68"/>
      <c r="H311" s="65"/>
      <c r="L311" s="65"/>
      <c r="P311" s="64"/>
    </row>
    <row r="312" spans="4:16" ht="14.25">
      <c r="D312" s="68"/>
      <c r="H312" s="65"/>
      <c r="L312" s="65"/>
      <c r="P312" s="64"/>
    </row>
    <row r="313" spans="4:16" ht="14.25">
      <c r="D313" s="64"/>
      <c r="H313" s="64"/>
      <c r="L313" s="64"/>
      <c r="P313" s="64"/>
    </row>
    <row r="314" spans="4:16" ht="14.25">
      <c r="D314" s="64"/>
      <c r="H314" s="64"/>
      <c r="L314" s="64"/>
      <c r="P314" s="64"/>
    </row>
    <row r="315" spans="4:16" ht="14.25">
      <c r="D315" s="64"/>
      <c r="H315" s="64"/>
      <c r="L315" s="64"/>
      <c r="P315" s="64"/>
    </row>
    <row r="316" spans="4:16" ht="14.25">
      <c r="D316" s="64"/>
      <c r="H316" s="64"/>
      <c r="L316" s="64"/>
      <c r="P316" s="64"/>
    </row>
    <row r="317" spans="4:16" ht="14.25">
      <c r="D317" s="64"/>
      <c r="H317" s="64"/>
      <c r="L317" s="64"/>
      <c r="P317" s="64"/>
    </row>
    <row r="318" spans="4:16" ht="14.25">
      <c r="D318" s="64"/>
      <c r="H318" s="64"/>
      <c r="L318" s="64"/>
      <c r="P318" s="64"/>
    </row>
    <row r="319" spans="4:16" ht="14.25">
      <c r="D319" s="64"/>
      <c r="H319" s="64"/>
      <c r="L319" s="64"/>
      <c r="P319" s="64"/>
    </row>
    <row r="320" spans="4:16" ht="14.25">
      <c r="D320" s="64"/>
      <c r="E320" s="63"/>
      <c r="F320" s="63"/>
      <c r="G320" s="63"/>
      <c r="H320" s="64"/>
      <c r="L320" s="64"/>
      <c r="P320" s="64"/>
    </row>
    <row r="321" spans="1:16" ht="14.25">
      <c r="A321" s="63"/>
      <c r="B321" s="63"/>
      <c r="C321" s="63"/>
      <c r="D321" s="64"/>
      <c r="E321" s="63"/>
      <c r="F321" s="63"/>
      <c r="G321" s="63"/>
      <c r="H321" s="64"/>
      <c r="L321" s="64"/>
      <c r="P321" s="64"/>
    </row>
    <row r="322" spans="1:16" ht="14.25">
      <c r="A322" s="63"/>
      <c r="B322" s="63"/>
      <c r="C322" s="63"/>
      <c r="D322" s="63"/>
      <c r="E322" s="63"/>
      <c r="F322" s="63"/>
      <c r="G322" s="63"/>
      <c r="H322" s="63"/>
      <c r="L322" s="64"/>
      <c r="P322" s="64"/>
    </row>
    <row r="323" spans="1:19" ht="14.2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4"/>
      <c r="M323" s="63"/>
      <c r="N323" s="63"/>
      <c r="O323" s="62"/>
      <c r="P323" s="62"/>
      <c r="Q323" s="62"/>
      <c r="R323" s="62"/>
      <c r="S323" s="62"/>
    </row>
    <row r="324" spans="1:19" ht="14.2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4"/>
      <c r="M324" s="63"/>
      <c r="N324" s="63"/>
      <c r="O324" s="62"/>
      <c r="P324" s="62"/>
      <c r="Q324" s="62"/>
      <c r="R324" s="62"/>
      <c r="S324" s="62"/>
    </row>
    <row r="325" spans="1:19" ht="14.2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4"/>
      <c r="M325" s="63"/>
      <c r="N325" s="63"/>
      <c r="O325" s="62"/>
      <c r="P325" s="62"/>
      <c r="Q325" s="62"/>
      <c r="R325" s="62"/>
      <c r="S325" s="62"/>
    </row>
    <row r="326" spans="13:19" ht="14.25">
      <c r="M326" s="57"/>
      <c r="N326" s="68"/>
      <c r="O326" s="71"/>
      <c r="Q326" s="57"/>
      <c r="R326" s="68"/>
      <c r="S326" s="71"/>
    </row>
    <row r="327" spans="4:19" ht="14.25">
      <c r="D327" s="63"/>
      <c r="H327" s="62"/>
      <c r="L327" s="64"/>
      <c r="M327" s="63"/>
      <c r="N327" s="63"/>
      <c r="O327" s="62"/>
      <c r="P327" s="62"/>
      <c r="Q327" s="62"/>
      <c r="R327" s="62"/>
      <c r="S327" s="62"/>
    </row>
    <row r="328" spans="4:19" ht="14.25">
      <c r="D328" s="63"/>
      <c r="H328" s="62"/>
      <c r="L328" s="64"/>
      <c r="M328" s="63"/>
      <c r="N328" s="63"/>
      <c r="O328" s="62"/>
      <c r="P328" s="62"/>
      <c r="Q328" s="62"/>
      <c r="R328" s="62"/>
      <c r="S328" s="62"/>
    </row>
    <row r="329" spans="4:19" ht="14.25">
      <c r="D329" s="63"/>
      <c r="H329" s="62"/>
      <c r="L329" s="64"/>
      <c r="M329" s="63"/>
      <c r="N329" s="63"/>
      <c r="O329" s="62"/>
      <c r="P329" s="62"/>
      <c r="Q329" s="62"/>
      <c r="R329" s="62"/>
      <c r="S329" s="62"/>
    </row>
    <row r="330" spans="4:19" ht="14.25">
      <c r="D330" s="63"/>
      <c r="H330" s="62"/>
      <c r="L330" s="64"/>
      <c r="M330" s="63"/>
      <c r="N330" s="63"/>
      <c r="O330" s="62"/>
      <c r="P330" s="62"/>
      <c r="Q330" s="62"/>
      <c r="R330" s="62"/>
      <c r="S330" s="62"/>
    </row>
    <row r="331" spans="4:19" ht="14.25">
      <c r="D331" s="63"/>
      <c r="H331" s="62"/>
      <c r="L331" s="64"/>
      <c r="M331" s="63"/>
      <c r="N331" s="63"/>
      <c r="O331" s="62"/>
      <c r="P331" s="62"/>
      <c r="Q331" s="62"/>
      <c r="R331" s="62"/>
      <c r="S331" s="62"/>
    </row>
    <row r="332" spans="4:19" ht="14.25">
      <c r="D332" s="63"/>
      <c r="H332" s="62"/>
      <c r="L332" s="64"/>
      <c r="M332" s="63"/>
      <c r="N332" s="63"/>
      <c r="O332" s="62"/>
      <c r="P332" s="62"/>
      <c r="Q332" s="62"/>
      <c r="R332" s="62"/>
      <c r="S332" s="62"/>
    </row>
    <row r="333" spans="4:19" ht="14.25">
      <c r="D333" s="63"/>
      <c r="H333" s="62"/>
      <c r="L333" s="64"/>
      <c r="M333" s="63"/>
      <c r="N333" s="63"/>
      <c r="O333" s="62"/>
      <c r="P333" s="62"/>
      <c r="Q333" s="62"/>
      <c r="R333" s="62"/>
      <c r="S333" s="62"/>
    </row>
    <row r="334" spans="4:19" ht="14.25">
      <c r="D334" s="63"/>
      <c r="H334" s="62"/>
      <c r="L334" s="64"/>
      <c r="M334" s="63"/>
      <c r="N334" s="63"/>
      <c r="O334" s="62"/>
      <c r="P334" s="62"/>
      <c r="Q334" s="62"/>
      <c r="R334" s="62"/>
      <c r="S334" s="62"/>
    </row>
    <row r="335" spans="4:19" ht="14.25">
      <c r="D335" s="63"/>
      <c r="H335" s="62"/>
      <c r="L335" s="64"/>
      <c r="M335" s="63"/>
      <c r="N335" s="63"/>
      <c r="O335" s="62"/>
      <c r="P335" s="62"/>
      <c r="Q335" s="62"/>
      <c r="R335" s="62"/>
      <c r="S335" s="62"/>
    </row>
    <row r="336" spans="4:19" ht="14.25">
      <c r="D336" s="63"/>
      <c r="H336" s="62"/>
      <c r="L336" s="64"/>
      <c r="M336" s="64"/>
      <c r="N336" s="63"/>
      <c r="O336" s="63"/>
      <c r="P336" s="62"/>
      <c r="Q336" s="62"/>
      <c r="R336" s="62"/>
      <c r="S336" s="62"/>
    </row>
    <row r="337" spans="1:19" ht="14.25">
      <c r="A337" s="63"/>
      <c r="B337" s="63"/>
      <c r="C337" s="63"/>
      <c r="D337" s="63"/>
      <c r="H337" s="62"/>
      <c r="I337" s="62"/>
      <c r="J337" s="62"/>
      <c r="K337" s="62"/>
      <c r="L337" s="64"/>
      <c r="M337" s="57"/>
      <c r="N337" s="68"/>
      <c r="O337" s="62"/>
      <c r="P337" s="62"/>
      <c r="Q337" s="57"/>
      <c r="R337" s="68"/>
      <c r="S337" s="71"/>
    </row>
    <row r="338" spans="1:19" ht="14.25">
      <c r="A338" s="63"/>
      <c r="B338" s="63"/>
      <c r="C338" s="63"/>
      <c r="D338" s="63"/>
      <c r="E338" s="63"/>
      <c r="F338" s="63"/>
      <c r="G338" s="62"/>
      <c r="H338" s="62"/>
      <c r="I338" s="62"/>
      <c r="J338" s="62"/>
      <c r="K338" s="62"/>
      <c r="L338" s="64"/>
      <c r="M338" s="57"/>
      <c r="N338" s="68"/>
      <c r="O338" s="69"/>
      <c r="P338" s="62"/>
      <c r="Q338" s="57"/>
      <c r="R338" s="68"/>
      <c r="S338" s="70"/>
    </row>
  </sheetData>
  <sheetProtection/>
  <mergeCells count="22">
    <mergeCell ref="A1:S1"/>
    <mergeCell ref="A2:S2"/>
    <mergeCell ref="A3:S3"/>
    <mergeCell ref="A4:S4"/>
    <mergeCell ref="A63:S63"/>
    <mergeCell ref="A64:S64"/>
    <mergeCell ref="A65:S65"/>
    <mergeCell ref="C80:D80"/>
    <mergeCell ref="K80:L80"/>
    <mergeCell ref="A120:S120"/>
    <mergeCell ref="A121:S121"/>
    <mergeCell ref="A122:S122"/>
    <mergeCell ref="A237:S237"/>
    <mergeCell ref="A238:S238"/>
    <mergeCell ref="A239:S239"/>
    <mergeCell ref="K138:K139"/>
    <mergeCell ref="A123:S123"/>
    <mergeCell ref="A180:S180"/>
    <mergeCell ref="A181:S181"/>
    <mergeCell ref="A182:S182"/>
    <mergeCell ref="A183:S183"/>
    <mergeCell ref="Q223:S223"/>
  </mergeCells>
  <printOptions horizontalCentered="1"/>
  <pageMargins left="0" right="0" top="0" bottom="0" header="0.03888888888888889" footer="0"/>
  <pageSetup horizontalDpi="200" verticalDpi="200" orientation="portrait" paperSize="9" scale="86"/>
  <headerFooter alignWithMargins="0">
    <oddFooter>&amp;C第 &amp;P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1899-12-30T00:00:00Z</cp:lastPrinted>
  <dcterms:created xsi:type="dcterms:W3CDTF">2012-06-05T15:56:18Z</dcterms:created>
  <dcterms:modified xsi:type="dcterms:W3CDTF">2016-11-01T08:52:10Z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